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acoc\Desktop\FM Run 20180717\Final Recon Models\"/>
    </mc:Choice>
  </mc:AlternateContent>
  <xr:revisionPtr revIDLastSave="0" documentId="10_ncr:100000_{908390E7-38D7-428C-9192-6D538BAA2294}" xr6:coauthVersionLast="36" xr6:coauthVersionMax="36" xr10:uidLastSave="{00000000-0000-0000-0000-000000000000}"/>
  <bookViews>
    <workbookView xWindow="0" yWindow="0" windowWidth="28800" windowHeight="12312" firstSheet="2" activeTab="2" xr2:uid="{00000000-000D-0000-FFFF-FFFF00000000}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externalReferences>
    <externalReference r:id="rId12"/>
    <externalReference r:id="rId13"/>
  </externalReferences>
  <definedNames>
    <definedName name="Additional.Analysis">Data!$G$22</definedName>
    <definedName name="Adj.AllRev.Waste">'WRFIM - Waste'!$I$38:$U$38</definedName>
    <definedName name="Adj.AllRev.Water">'WRFIM - Water'!$I$38:$U$38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Waste'!$I$32:$U$32</definedName>
    <definedName name="AMP6.FI.Adj.Water">'WRFIM - Water'!$I$32:$U$32</definedName>
    <definedName name="Baseline.AllRev.Waste">'WRFIM - Waste'!$I$39:$U$39</definedName>
    <definedName name="Baseline.AllRev.Water">'WRFIM - Water'!$I$39:$U$39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Waste'!$I$44:$U$44</definedName>
    <definedName name="Perc.Recovered.Water">'WRFIM - Water'!$I$44:$U$44</definedName>
    <definedName name="_xlnm.Print_Area" localSheetId="3">RPI!$A$1:$V$58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Waste'!$P$84</definedName>
    <definedName name="WRFIM.Water">'WRFIM - Water'!$P$84</definedName>
  </definedNames>
  <calcPr calcId="179020" iterate="1"/>
</workbook>
</file>

<file path=xl/calcChain.xml><?xml version="1.0" encoding="utf-8"?>
<calcChain xmlns="http://schemas.openxmlformats.org/spreadsheetml/2006/main">
  <c r="K43" i="1" l="1"/>
  <c r="N37" i="1"/>
  <c r="L37" i="1"/>
  <c r="M37" i="1"/>
  <c r="K42" i="1"/>
  <c r="E82" i="6"/>
  <c r="E82" i="5"/>
  <c r="E36" i="5"/>
  <c r="E34" i="5"/>
  <c r="O34" i="5"/>
  <c r="O34" i="6"/>
  <c r="E36" i="6"/>
  <c r="E34" i="6"/>
  <c r="H33" i="6"/>
  <c r="G33" i="6"/>
  <c r="E33" i="6"/>
  <c r="D33" i="6"/>
  <c r="H33" i="5"/>
  <c r="G33" i="5"/>
  <c r="D33" i="5"/>
  <c r="E33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32" i="5"/>
  <c r="L32" i="5"/>
  <c r="M32" i="6"/>
  <c r="L32" i="6"/>
  <c r="N41" i="6"/>
  <c r="M41" i="6"/>
  <c r="L41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I32" i="12"/>
  <c r="J32" i="12"/>
  <c r="K32" i="12"/>
  <c r="L32" i="12"/>
  <c r="M32" i="12"/>
  <c r="N32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H36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I36" i="12"/>
  <c r="N29" i="12"/>
  <c r="O29" i="12"/>
  <c r="P29" i="12"/>
  <c r="J36" i="12"/>
  <c r="K36" i="12"/>
  <c r="L36" i="12"/>
  <c r="M36" i="12"/>
  <c r="K19" i="6"/>
  <c r="K20" i="6"/>
  <c r="L20" i="6"/>
  <c r="M20" i="6"/>
  <c r="N20" i="6"/>
  <c r="K19" i="5"/>
  <c r="K20" i="5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O41" i="5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L20" i="5"/>
  <c r="M20" i="5"/>
  <c r="N20" i="5"/>
  <c r="P25" i="5"/>
  <c r="P25" i="6"/>
  <c r="L51" i="12"/>
  <c r="L13" i="6"/>
  <c r="L14" i="6"/>
  <c r="L15" i="6"/>
  <c r="L38" i="6"/>
  <c r="K51" i="12"/>
  <c r="J51" i="12"/>
  <c r="O20" i="6"/>
  <c r="P20" i="6"/>
  <c r="N22" i="6"/>
  <c r="J49" i="12"/>
  <c r="N49" i="12"/>
  <c r="K49" i="12"/>
  <c r="I49" i="12"/>
  <c r="L49" i="12"/>
  <c r="M49" i="12"/>
  <c r="I41" i="12"/>
  <c r="M51" i="12"/>
  <c r="N51" i="12"/>
  <c r="Q29" i="12"/>
  <c r="K41" i="12"/>
  <c r="L41" i="12"/>
  <c r="M41" i="12"/>
  <c r="O32" i="12"/>
  <c r="J41" i="12"/>
  <c r="N36" i="12"/>
  <c r="O49" i="12"/>
  <c r="N22" i="5"/>
  <c r="O20" i="5"/>
  <c r="P20" i="5"/>
  <c r="P26" i="5"/>
  <c r="P27" i="5"/>
  <c r="P22" i="6"/>
  <c r="P26" i="6"/>
  <c r="P27" i="6"/>
  <c r="L13" i="5"/>
  <c r="L14" i="5"/>
  <c r="L15" i="5"/>
  <c r="N23" i="5"/>
  <c r="O22" i="6"/>
  <c r="O23" i="6"/>
  <c r="N23" i="6"/>
  <c r="O36" i="12"/>
  <c r="P49" i="12"/>
  <c r="N13" i="6"/>
  <c r="N14" i="6"/>
  <c r="N13" i="5"/>
  <c r="N14" i="5"/>
  <c r="M13" i="5"/>
  <c r="M14" i="5"/>
  <c r="M13" i="6"/>
  <c r="M14" i="6"/>
  <c r="M15" i="6"/>
  <c r="M38" i="6"/>
  <c r="O51" i="12"/>
  <c r="N41" i="12"/>
  <c r="L37" i="6"/>
  <c r="P32" i="12"/>
  <c r="R29" i="12"/>
  <c r="O22" i="5"/>
  <c r="O23" i="5"/>
  <c r="P28" i="6"/>
  <c r="P82" i="6"/>
  <c r="P22" i="5"/>
  <c r="P28" i="5"/>
  <c r="P82" i="5"/>
  <c r="L37" i="5"/>
  <c r="L38" i="5"/>
  <c r="L43" i="6"/>
  <c r="L47" i="6"/>
  <c r="L48" i="6"/>
  <c r="M15" i="5"/>
  <c r="O41" i="12"/>
  <c r="P51" i="12"/>
  <c r="N15" i="6"/>
  <c r="M37" i="6"/>
  <c r="Q32" i="12"/>
  <c r="S29" i="12"/>
  <c r="O13" i="5"/>
  <c r="O14" i="5"/>
  <c r="O13" i="6"/>
  <c r="O14" i="6"/>
  <c r="P23" i="6"/>
  <c r="P36" i="12"/>
  <c r="Q49" i="12"/>
  <c r="L39" i="5"/>
  <c r="P13" i="5"/>
  <c r="P14" i="5"/>
  <c r="P35" i="5"/>
  <c r="P35" i="6"/>
  <c r="M37" i="5"/>
  <c r="L39" i="6"/>
  <c r="L52" i="6"/>
  <c r="L53" i="6"/>
  <c r="L54" i="6"/>
  <c r="L56" i="6"/>
  <c r="L57" i="6"/>
  <c r="L58" i="6"/>
  <c r="N59" i="6"/>
  <c r="N15" i="5"/>
  <c r="O15" i="5"/>
  <c r="M38" i="5"/>
  <c r="P13" i="6"/>
  <c r="P14" i="6"/>
  <c r="M43" i="6"/>
  <c r="M47" i="6"/>
  <c r="M48" i="6"/>
  <c r="Q51" i="12"/>
  <c r="N49" i="6"/>
  <c r="Q36" i="12"/>
  <c r="R49" i="12"/>
  <c r="P41" i="12"/>
  <c r="T29" i="12"/>
  <c r="R32" i="12"/>
  <c r="P23" i="5"/>
  <c r="L44" i="6"/>
  <c r="L67" i="6"/>
  <c r="N37" i="6"/>
  <c r="O15" i="6"/>
  <c r="P15" i="6"/>
  <c r="P37" i="6"/>
  <c r="N62" i="6"/>
  <c r="N63" i="6"/>
  <c r="N32" i="6"/>
  <c r="N38" i="6"/>
  <c r="N37" i="5"/>
  <c r="M39" i="5"/>
  <c r="N64" i="6"/>
  <c r="M39" i="6"/>
  <c r="M52" i="6"/>
  <c r="M53" i="6"/>
  <c r="M54" i="6"/>
  <c r="M56" i="6"/>
  <c r="M57" i="6"/>
  <c r="M58" i="6"/>
  <c r="O59" i="6"/>
  <c r="Q41" i="12"/>
  <c r="R51" i="12"/>
  <c r="M44" i="6"/>
  <c r="M67" i="6"/>
  <c r="O37" i="6"/>
  <c r="P15" i="5"/>
  <c r="O37" i="5"/>
  <c r="S32" i="12"/>
  <c r="U29" i="12"/>
  <c r="R36" i="12"/>
  <c r="S49" i="12"/>
  <c r="O49" i="6"/>
  <c r="O62" i="6"/>
  <c r="O63" i="6"/>
  <c r="N43" i="6"/>
  <c r="N47" i="6"/>
  <c r="N39" i="6"/>
  <c r="N52" i="6"/>
  <c r="N53" i="6"/>
  <c r="N54" i="6"/>
  <c r="N56" i="6"/>
  <c r="N57" i="6"/>
  <c r="N58" i="6"/>
  <c r="P59" i="6"/>
  <c r="O32" i="6"/>
  <c r="O38" i="6"/>
  <c r="T32" i="12"/>
  <c r="S36" i="12"/>
  <c r="T49" i="12"/>
  <c r="R41" i="12"/>
  <c r="P37" i="5"/>
  <c r="S51" i="12"/>
  <c r="N44" i="6"/>
  <c r="N67" i="6"/>
  <c r="N48" i="6"/>
  <c r="P49" i="6"/>
  <c r="O64" i="6"/>
  <c r="P63" i="6"/>
  <c r="O39" i="6"/>
  <c r="T36" i="12"/>
  <c r="S41" i="12"/>
  <c r="U32" i="12"/>
  <c r="T51" i="12"/>
  <c r="P32" i="6"/>
  <c r="R38" i="6"/>
  <c r="P62" i="6"/>
  <c r="P64" i="6"/>
  <c r="U51" i="12"/>
  <c r="U49" i="12"/>
  <c r="U36" i="12"/>
  <c r="U41" i="12"/>
  <c r="T41" i="12"/>
  <c r="L41" i="5"/>
  <c r="L43" i="5"/>
  <c r="L52" i="5"/>
  <c r="L53" i="5"/>
  <c r="L54" i="5"/>
  <c r="L56" i="5"/>
  <c r="L57" i="5"/>
  <c r="L58" i="5"/>
  <c r="N59" i="5"/>
  <c r="L47" i="5"/>
  <c r="L44" i="5"/>
  <c r="L67" i="5"/>
  <c r="N63" i="5"/>
  <c r="L48" i="5"/>
  <c r="N32" i="5"/>
  <c r="N38" i="5"/>
  <c r="N41" i="5"/>
  <c r="N49" i="5"/>
  <c r="N62" i="5"/>
  <c r="N64" i="5"/>
  <c r="N43" i="5"/>
  <c r="N39" i="5"/>
  <c r="N52" i="5"/>
  <c r="N53" i="5"/>
  <c r="N54" i="5"/>
  <c r="N56" i="5"/>
  <c r="N57" i="5"/>
  <c r="N58" i="5"/>
  <c r="P59" i="5"/>
  <c r="N47" i="5"/>
  <c r="N48" i="5"/>
  <c r="P32" i="5"/>
  <c r="P63" i="5"/>
  <c r="N44" i="5"/>
  <c r="N67" i="5"/>
  <c r="P49" i="5"/>
  <c r="P62" i="5"/>
  <c r="P64" i="5"/>
  <c r="M41" i="5"/>
  <c r="M43" i="5"/>
  <c r="M52" i="5"/>
  <c r="M53" i="5"/>
  <c r="M54" i="5"/>
  <c r="M56" i="5"/>
  <c r="M57" i="5"/>
  <c r="M58" i="5"/>
  <c r="O59" i="5"/>
  <c r="O63" i="5"/>
  <c r="M47" i="5"/>
  <c r="M44" i="5"/>
  <c r="M67" i="5"/>
  <c r="M48" i="5"/>
  <c r="O32" i="5"/>
  <c r="O38" i="5"/>
  <c r="O49" i="5"/>
  <c r="O62" i="5"/>
  <c r="O64" i="5"/>
  <c r="O39" i="5"/>
  <c r="O52" i="5"/>
  <c r="O53" i="5"/>
  <c r="O54" i="5"/>
  <c r="O56" i="5"/>
  <c r="P73" i="5"/>
  <c r="O43" i="5"/>
  <c r="O44" i="5"/>
  <c r="O67" i="5"/>
  <c r="P72" i="5"/>
  <c r="P74" i="5"/>
  <c r="P53" i="1"/>
  <c r="P36" i="5"/>
  <c r="P38" i="5"/>
  <c r="P39" i="5"/>
  <c r="P41" i="5"/>
  <c r="P52" i="5"/>
  <c r="P53" i="5"/>
  <c r="P54" i="5"/>
  <c r="P56" i="5"/>
  <c r="P78" i="5"/>
  <c r="P43" i="5"/>
  <c r="P44" i="5"/>
  <c r="P67" i="5"/>
  <c r="P77" i="5"/>
  <c r="P79" i="5"/>
  <c r="P84" i="5"/>
  <c r="P10" i="7"/>
  <c r="O37" i="1"/>
  <c r="O41" i="6"/>
  <c r="O43" i="6"/>
  <c r="O52" i="6"/>
  <c r="O53" i="6"/>
  <c r="O54" i="6"/>
  <c r="O56" i="6"/>
  <c r="P73" i="6"/>
  <c r="P72" i="6"/>
  <c r="P74" i="6"/>
  <c r="O44" i="6"/>
  <c r="O67" i="6"/>
  <c r="P54" i="1"/>
  <c r="P36" i="6"/>
  <c r="P38" i="6"/>
  <c r="P39" i="6"/>
  <c r="P41" i="6"/>
  <c r="P52" i="6"/>
  <c r="P53" i="6"/>
  <c r="P54" i="6"/>
  <c r="P56" i="6"/>
  <c r="P78" i="6"/>
  <c r="P43" i="6"/>
  <c r="P77" i="6"/>
  <c r="P79" i="6"/>
  <c r="P84" i="6"/>
  <c r="P12" i="7"/>
  <c r="P44" i="6"/>
  <c r="P67" i="6"/>
</calcChain>
</file>

<file path=xl/sharedStrings.xml><?xml version="1.0" encoding="utf-8"?>
<sst xmlns="http://schemas.openxmlformats.org/spreadsheetml/2006/main" count="596" uniqueCount="256">
  <si>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</si>
  <si>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</si>
  <si>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</si>
  <si>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</si>
  <si>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</si>
  <si>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</si>
  <si>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</si>
  <si>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</si>
  <si>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</si>
  <si>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</si>
  <si>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</si>
  <si>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</si>
  <si>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</si>
  <si>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</si>
  <si>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</si>
  <si>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</si>
  <si>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</si>
  <si>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</si>
  <si>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</si>
  <si>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</si>
  <si>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</si>
  <si>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</si>
  <si>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</si>
  <si>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</si>
  <si>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</si>
  <si>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</si>
  <si>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</si>
  <si>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</si>
  <si>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</si>
  <si>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</si>
  <si>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</si>
  <si>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</si>
  <si>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</si>
  <si>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</si>
  <si>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</si>
  <si>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</si>
  <si>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</si>
  <si>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</si>
  <si>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</si>
  <si>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</si>
  <si>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</si>
  <si>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</si>
  <si>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</si>
  <si>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</si>
  <si>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</si>
  <si>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</si>
  <si>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</si>
  <si>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</si>
  <si>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</si>
  <si>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</si>
  <si>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</si>
  <si>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</si>
  <si>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</si>
  <si>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</si>
  <si>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</si>
  <si>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</si>
  <si>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</si>
  <si>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</si>
  <si>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</si>
  <si>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</si>
  <si>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</si>
  <si>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</si>
  <si>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</si>
  <si>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</si>
  <si>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</si>
  <si>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</si>
  <si>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</si>
  <si>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</si>
  <si>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</si>
  <si>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</si>
  <si>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</si>
  <si>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WSX</t>
  </si>
  <si>
    <t>Company Type</t>
  </si>
  <si>
    <t>WaSC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</si>
  <si>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</si>
  <si>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</si>
  <si>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</si>
  <si>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</si>
  <si>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</si>
  <si>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</si>
  <si>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</si>
  <si>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</si>
  <si>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</si>
  <si>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</si>
  <si>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</si>
  <si>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</si>
  <si>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</si>
  <si>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</si>
  <si>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</si>
  <si>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</si>
  <si>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</si>
  <si>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</si>
  <si>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</si>
  <si>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</si>
  <si>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</si>
  <si>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</si>
  <si>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</si>
  <si>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</si>
  <si>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</si>
  <si>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</si>
  <si>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</si>
  <si>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</si>
  <si>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</si>
  <si>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</si>
  <si>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</si>
  <si>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</si>
  <si>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</si>
  <si>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</si>
  <si>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</si>
  <si>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</si>
  <si>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</si>
  <si>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</si>
  <si>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</si>
  <si>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</si>
  <si>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</si>
  <si>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</si>
  <si>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</si>
  <si>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</si>
  <si>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</si>
  <si>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</si>
  <si>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</si>
  <si>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</si>
  <si>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</si>
  <si>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</si>
  <si>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</si>
  <si>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</si>
  <si>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</si>
  <si>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</si>
  <si>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</si>
  <si>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</si>
  <si>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</si>
  <si>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</si>
  <si>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</si>
  <si>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</si>
  <si>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</si>
  <si>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</si>
  <si>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</si>
  <si>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</si>
  <si>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</si>
  <si>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</si>
  <si>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</si>
  <si>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</si>
  <si>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</si>
  <si>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</si>
  <si>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</si>
  <si>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</si>
  <si>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</si>
  <si>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</si>
  <si>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</si>
  <si>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</si>
  <si>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</si>
  <si>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</si>
  <si>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</si>
  <si>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%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</si>
  <si>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</si>
  <si>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</si>
  <si>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</si>
  <si>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</si>
  <si>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</si>
  <si>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</si>
  <si>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</si>
  <si>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</si>
  <si>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</si>
  <si>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</si>
  <si>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</si>
  <si>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</si>
  <si>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</si>
  <si>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</si>
  <si>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</si>
  <si>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</si>
  <si>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</si>
  <si>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</si>
  <si>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</si>
  <si>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</si>
  <si>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</si>
  <si>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</si>
  <si>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</si>
  <si>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</si>
  <si>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</si>
  <si>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</si>
  <si>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</si>
  <si>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</si>
  <si>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</si>
  <si>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</si>
  <si>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</si>
  <si>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</si>
  <si>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</si>
  <si>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</si>
  <si>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</si>
  <si>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</si>
  <si>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</si>
  <si>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</si>
  <si>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</si>
  <si>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</si>
  <si>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</si>
  <si>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</si>
  <si>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</si>
  <si>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</si>
  <si>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</si>
  <si>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</si>
  <si>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</si>
  <si>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</si>
  <si>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</si>
  <si>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</si>
  <si>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</si>
  <si>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</si>
  <si>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</si>
  <si>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</si>
  <si>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</si>
  <si>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</si>
  <si>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</si>
  <si>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</si>
  <si>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</si>
  <si>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</si>
  <si>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</si>
  <si>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</si>
  <si>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</si>
  <si>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</si>
  <si>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</si>
  <si>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</si>
  <si>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</si>
  <si>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</si>
  <si>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RCM adjustment remaining to be applied at PR19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</si>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</sst>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.00000"/>
    <numFmt numFmtId="172" formatCode="#,##0.0000"/>
  </numFmts>
  <fonts count="85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5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2">
      <alignment horizontal="left"/>
    </xf>
    <xf numFmtId="37" fontId="39" fillId="63" borderId="23"/>
    <xf numFmtId="0" fontId="15" fillId="63" borderId="21" applyNumberFormat="0" applyBorder="0"/>
    <xf numFmtId="0" fontId="15" fillId="63" borderId="21" applyNumberFormat="0" applyBorder="0"/>
    <xf numFmtId="0" fontId="15" fillId="63" borderId="21" applyNumberFormat="0" applyBorder="0"/>
    <xf numFmtId="0" fontId="55" fillId="51" borderId="24" applyNumberFormat="0" applyAlignment="0" applyProtection="0"/>
    <xf numFmtId="0" fontId="56" fillId="64" borderId="25" applyNumberFormat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6">
      <alignment vertical="top"/>
    </xf>
    <xf numFmtId="0" fontId="15" fillId="50" borderId="18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7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8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4" applyNumberFormat="0" applyAlignment="0" applyProtection="0"/>
    <xf numFmtId="0" fontId="67" fillId="0" borderId="31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3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4"/>
    <xf numFmtId="0" fontId="75" fillId="0" borderId="35">
      <alignment horizontal="right"/>
    </xf>
    <xf numFmtId="0" fontId="15" fillId="0" borderId="0"/>
    <xf numFmtId="0" fontId="4" fillId="0" borderId="0"/>
    <xf numFmtId="0" fontId="15" fillId="50" borderId="36"/>
    <xf numFmtId="0" fontId="15" fillId="66" borderId="0"/>
    <xf numFmtId="0" fontId="15" fillId="66" borderId="0"/>
    <xf numFmtId="0" fontId="51" fillId="0" borderId="0"/>
    <xf numFmtId="0" fontId="22" fillId="41" borderId="36" applyNumberFormat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12" fillId="0" borderId="0" xfId="45"/>
    <xf numFmtId="0" fontId="34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41" fillId="0" borderId="0" xfId="0" applyFont="1"/>
    <xf numFmtId="0" fontId="41" fillId="48" borderId="19" xfId="0" applyFont="1" applyFill="1" applyBorder="1"/>
    <xf numFmtId="0" fontId="41" fillId="48" borderId="20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7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shrinkToFit="1"/>
    </xf>
    <xf numFmtId="0" fontId="2" fillId="0" borderId="0" xfId="0" applyFont="1" applyAlignment="1">
      <alignment horizontal="left" indent="2"/>
    </xf>
    <xf numFmtId="165" fontId="0" fillId="36" borderId="14" xfId="50" applyNumberFormat="1" applyFont="1"/>
    <xf numFmtId="167" fontId="2" fillId="0" borderId="0" xfId="0" applyNumberFormat="1" applyFont="1"/>
    <xf numFmtId="166" fontId="15" fillId="33" borderId="14" xfId="46" applyNumberFormat="1" applyFont="1"/>
    <xf numFmtId="0" fontId="41" fillId="0" borderId="0" xfId="0" applyFont="1" applyAlignment="1">
      <alignment horizontal="left"/>
    </xf>
    <xf numFmtId="0" fontId="48" fillId="0" borderId="0" xfId="72" applyFont="1" applyAlignment="1">
      <alignment horizontal="left" vertical="center"/>
    </xf>
    <xf numFmtId="0" fontId="78" fillId="0" borderId="0" xfId="0" applyFont="1"/>
    <xf numFmtId="0" fontId="80" fillId="48" borderId="20" xfId="0" applyFont="1" applyFill="1" applyBorder="1"/>
    <xf numFmtId="0" fontId="81" fillId="0" borderId="0" xfId="0" applyFont="1"/>
    <xf numFmtId="0" fontId="15" fillId="0" borderId="0" xfId="159"/>
    <xf numFmtId="0" fontId="50" fillId="0" borderId="0" xfId="159" applyFont="1"/>
    <xf numFmtId="0" fontId="50" fillId="49" borderId="20" xfId="159" applyFont="1" applyFill="1" applyBorder="1"/>
    <xf numFmtId="0" fontId="15" fillId="49" borderId="20" xfId="159" applyFill="1" applyBorder="1"/>
    <xf numFmtId="0" fontId="42" fillId="49" borderId="20" xfId="159" applyFont="1" applyFill="1" applyBorder="1"/>
    <xf numFmtId="0" fontId="15" fillId="0" borderId="0" xfId="159" applyAlignment="1">
      <alignment vertical="center"/>
    </xf>
    <xf numFmtId="0" fontId="50" fillId="0" borderId="0" xfId="159" applyFont="1" applyAlignment="1">
      <alignment vertical="center"/>
    </xf>
    <xf numFmtId="168" fontId="15" fillId="0" borderId="0" xfId="159" applyNumberFormat="1" applyAlignment="1">
      <alignment horizontal="right" vertical="center"/>
    </xf>
    <xf numFmtId="10" fontId="15" fillId="0" borderId="0" xfId="152" applyNumberFormat="1" applyAlignment="1">
      <alignment vertical="center"/>
    </xf>
    <xf numFmtId="0" fontId="15" fillId="0" borderId="0" xfId="159" applyAlignment="1">
      <alignment horizontal="left" vertical="center" indent="1"/>
    </xf>
    <xf numFmtId="168" fontId="15" fillId="0" borderId="0" xfId="159" applyNumberFormat="1" applyAlignment="1">
      <alignment horizontal="left" vertical="center"/>
    </xf>
    <xf numFmtId="168" fontId="15" fillId="47" borderId="36" xfId="159" applyNumberFormat="1" applyFill="1" applyBorder="1" applyAlignment="1" applyProtection="1">
      <alignment horizontal="right" vertical="center"/>
      <protection locked="0"/>
    </xf>
    <xf numFmtId="0" fontId="15" fillId="0" borderId="0" xfId="160" applyFont="1" applyAlignment="1">
      <alignment horizontal="left" vertical="center" indent="1"/>
    </xf>
    <xf numFmtId="1" fontId="42" fillId="0" borderId="0" xfId="152" applyNumberFormat="1" applyFont="1" applyAlignment="1">
      <alignment vertical="center"/>
    </xf>
    <xf numFmtId="0" fontId="42" fillId="0" borderId="0" xfId="160" applyFont="1" applyAlignment="1">
      <alignment vertical="center"/>
    </xf>
    <xf numFmtId="169" fontId="15" fillId="0" borderId="37" xfId="159" applyNumberFormat="1" applyBorder="1" applyAlignment="1">
      <alignment horizontal="right" vertical="center"/>
    </xf>
    <xf numFmtId="167" fontId="15" fillId="0" borderId="37" xfId="159" applyNumberFormat="1" applyBorder="1" applyAlignment="1">
      <alignment horizontal="right" vertical="center"/>
    </xf>
    <xf numFmtId="0" fontId="15" fillId="0" borderId="0" xfId="159" applyAlignment="1">
      <alignment shrinkToFit="1"/>
    </xf>
    <xf numFmtId="0" fontId="15" fillId="0" borderId="0" xfId="159" applyAlignment="1">
      <alignment horizontal="left" vertical="center"/>
    </xf>
    <xf numFmtId="169" fontId="15" fillId="0" borderId="0" xfId="159" applyNumberFormat="1" applyAlignment="1">
      <alignment horizontal="right"/>
    </xf>
    <xf numFmtId="165" fontId="15" fillId="46" borderId="36" xfId="159" applyNumberFormat="1" applyFill="1" applyBorder="1" applyAlignment="1">
      <alignment horizontal="right" vertical="center"/>
    </xf>
    <xf numFmtId="166" fontId="15" fillId="69" borderId="36" xfId="159" applyNumberFormat="1" applyFill="1" applyBorder="1" applyAlignment="1">
      <alignment horizontal="right"/>
    </xf>
    <xf numFmtId="0" fontId="15" fillId="0" borderId="0" xfId="159" applyAlignment="1">
      <alignment horizontal="right" vertical="center"/>
    </xf>
    <xf numFmtId="0" fontId="42" fillId="0" borderId="0" xfId="159" applyFont="1" applyAlignment="1">
      <alignment horizontal="left" vertical="center"/>
    </xf>
    <xf numFmtId="10" fontId="50" fillId="0" borderId="0" xfId="152" applyNumberFormat="1" applyFont="1" applyAlignment="1">
      <alignment vertical="center"/>
    </xf>
    <xf numFmtId="168" fontId="15" fillId="0" borderId="0" xfId="152" applyNumberFormat="1" applyAlignment="1">
      <alignment horizontal="center"/>
    </xf>
    <xf numFmtId="10" fontId="15" fillId="0" borderId="0" xfId="152" applyNumberFormat="1" applyAlignment="1">
      <alignment horizontal="left" vertical="center"/>
    </xf>
    <xf numFmtId="168" fontId="15" fillId="0" borderId="0" xfId="152" applyNumberFormat="1"/>
    <xf numFmtId="168" fontId="15" fillId="47" borderId="36" xfId="152" applyNumberFormat="1" applyFill="1" applyBorder="1"/>
    <xf numFmtId="169" fontId="15" fillId="47" borderId="36" xfId="159" applyNumberFormat="1" applyFill="1" applyBorder="1" applyAlignment="1">
      <alignment horizontal="right" vertical="center"/>
    </xf>
    <xf numFmtId="49" fontId="43" fillId="45" borderId="38" xfId="160" applyNumberFormat="1" applyFont="1" applyFill="1" applyBorder="1" applyAlignment="1">
      <alignment horizontal="right" vertical="center"/>
    </xf>
    <xf numFmtId="165" fontId="15" fillId="46" borderId="36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Alignment="1">
      <alignment vertical="center"/>
    </xf>
    <xf numFmtId="1" fontId="50" fillId="0" borderId="0" xfId="152" applyNumberFormat="1" applyFont="1" applyAlignment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Alignment="1">
      <alignment horizontal="left" vertical="center"/>
    </xf>
    <xf numFmtId="1" fontId="15" fillId="0" borderId="0" xfId="159" applyNumberFormat="1" applyAlignment="1" applyProtection="1">
      <alignment horizontal="right" vertical="center"/>
      <protection hidden="1"/>
    </xf>
    <xf numFmtId="1" fontId="50" fillId="0" borderId="0" xfId="159" applyNumberFormat="1" applyFont="1" applyAlignment="1" applyProtection="1">
      <alignment horizontal="right" vertical="center"/>
      <protection hidden="1"/>
    </xf>
    <xf numFmtId="1" fontId="42" fillId="0" borderId="0" xfId="159" applyNumberFormat="1" applyFont="1" applyAlignment="1" applyProtection="1">
      <alignment horizontal="right" vertical="center"/>
      <protection hidden="1"/>
    </xf>
    <xf numFmtId="1" fontId="50" fillId="0" borderId="0" xfId="159" applyNumberFormat="1" applyFont="1" applyAlignment="1" applyProtection="1">
      <alignment horizontal="left" vertical="center"/>
      <protection hidden="1"/>
    </xf>
    <xf numFmtId="1" fontId="44" fillId="0" borderId="0" xfId="159" applyNumberFormat="1" applyFont="1" applyAlignment="1">
      <alignment horizontal="left" vertical="center"/>
    </xf>
    <xf numFmtId="0" fontId="15" fillId="0" borderId="0" xfId="159" applyAlignment="1">
      <alignment horizontal="center" vertical="center" shrinkToFit="1"/>
    </xf>
    <xf numFmtId="0" fontId="15" fillId="0" borderId="0" xfId="159" applyAlignment="1">
      <alignment vertical="center" shrinkToFit="1"/>
    </xf>
    <xf numFmtId="0" fontId="15" fillId="0" borderId="0" xfId="159" applyAlignment="1">
      <alignment horizontal="left" vertical="center" shrinkToFit="1"/>
    </xf>
    <xf numFmtId="0" fontId="18" fillId="44" borderId="0" xfId="159" applyFont="1" applyFill="1" applyAlignment="1">
      <alignment vertical="center"/>
    </xf>
    <xf numFmtId="0" fontId="46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2" fillId="0" borderId="39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 wrapText="1"/>
    </xf>
    <xf numFmtId="0" fontId="83" fillId="0" borderId="3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0" fontId="2" fillId="33" borderId="14" xfId="46" applyFont="1"/>
    <xf numFmtId="167" fontId="15" fillId="47" borderId="14" xfId="46" applyNumberFormat="1" applyFont="1" applyFill="1"/>
    <xf numFmtId="167" fontId="15" fillId="33" borderId="14" xfId="46" applyNumberFormat="1" applyFont="1"/>
    <xf numFmtId="170" fontId="15" fillId="33" borderId="14" xfId="166" applyNumberFormat="1" applyFont="1" applyFill="1" applyBorder="1"/>
    <xf numFmtId="0" fontId="84" fillId="0" borderId="0" xfId="0" applyFont="1"/>
    <xf numFmtId="165" fontId="15" fillId="46" borderId="36" xfId="0" applyNumberFormat="1" applyFont="1" applyFill="1" applyBorder="1" applyAlignment="1">
      <alignment horizontal="right" vertical="center"/>
    </xf>
    <xf numFmtId="49" fontId="43" fillId="45" borderId="38" xfId="0" applyNumberFormat="1" applyFont="1" applyFill="1" applyBorder="1" applyAlignment="1">
      <alignment horizontal="right" vertical="center"/>
    </xf>
    <xf numFmtId="168" fontId="2" fillId="47" borderId="14" xfId="46" applyNumberFormat="1" applyFont="1" applyFill="1"/>
    <xf numFmtId="9" fontId="2" fillId="0" borderId="0" xfId="166" applyFont="1"/>
    <xf numFmtId="168" fontId="2" fillId="0" borderId="0" xfId="0" applyNumberFormat="1" applyFont="1"/>
    <xf numFmtId="0" fontId="2" fillId="0" borderId="36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29" fillId="0" borderId="0" xfId="0" applyFont="1"/>
    <xf numFmtId="170" fontId="2" fillId="0" borderId="0" xfId="166" applyNumberFormat="1" applyFont="1"/>
    <xf numFmtId="0" fontId="2" fillId="0" borderId="43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10" fontId="15" fillId="0" borderId="0" xfId="152" applyNumberFormat="1" applyAlignment="1">
      <alignment vertical="center" wrapText="1"/>
    </xf>
    <xf numFmtId="168" fontId="15" fillId="0" borderId="0" xfId="159" applyNumberFormat="1" applyAlignment="1" applyProtection="1">
      <alignment horizontal="right" vertical="center"/>
      <protection locked="0"/>
    </xf>
    <xf numFmtId="10" fontId="15" fillId="0" borderId="0" xfId="159" applyNumberFormat="1" applyAlignment="1">
      <alignment shrinkToFit="1"/>
    </xf>
    <xf numFmtId="10" fontId="15" fillId="0" borderId="0" xfId="159" applyNumberFormat="1" applyAlignment="1">
      <alignment horizontal="left" vertical="center"/>
    </xf>
    <xf numFmtId="167" fontId="2" fillId="71" borderId="0" xfId="0" applyNumberFormat="1" applyFont="1" applyFill="1"/>
    <xf numFmtId="0" fontId="2" fillId="71" borderId="43" xfId="0" applyFont="1" applyFill="1" applyBorder="1" applyAlignment="1">
      <alignment horizontal="left" vertical="top"/>
    </xf>
    <xf numFmtId="0" fontId="2" fillId="71" borderId="43" xfId="0" applyFont="1" applyFill="1" applyBorder="1" applyAlignment="1">
      <alignment horizontal="left" vertical="top" wrapText="1"/>
    </xf>
    <xf numFmtId="0" fontId="2" fillId="72" borderId="39" xfId="0" applyFont="1" applyFill="1" applyBorder="1" applyAlignment="1">
      <alignment horizontal="left" vertical="top"/>
    </xf>
    <xf numFmtId="0" fontId="2" fillId="72" borderId="39" xfId="0" applyFont="1" applyFill="1" applyBorder="1" applyAlignment="1">
      <alignment horizontal="left" vertical="top" wrapText="1"/>
    </xf>
    <xf numFmtId="0" fontId="2" fillId="72" borderId="0" xfId="0" applyFont="1" applyFill="1" applyAlignment="1">
      <alignment horizontal="left" indent="1"/>
    </xf>
    <xf numFmtId="167" fontId="2" fillId="72" borderId="0" xfId="0" applyNumberFormat="1" applyFont="1" applyFill="1"/>
    <xf numFmtId="170" fontId="2" fillId="72" borderId="0" xfId="166" applyNumberFormat="1" applyFont="1" applyFill="1"/>
    <xf numFmtId="17" fontId="2" fillId="0" borderId="0" xfId="0" applyNumberFormat="1" applyFont="1"/>
    <xf numFmtId="171" fontId="0" fillId="0" borderId="0" xfId="0" applyNumberFormat="1"/>
    <xf numFmtId="172" fontId="0" fillId="0" borderId="0" xfId="0" applyNumberFormat="1"/>
    <xf numFmtId="0" fontId="48" fillId="44" borderId="43" xfId="72" applyFont="1" applyFill="1" applyBorder="1" applyAlignment="1">
      <alignment horizontal="left" vertical="center"/>
    </xf>
    <xf numFmtId="0" fontId="82" fillId="44" borderId="43" xfId="72" applyFont="1" applyFill="1" applyBorder="1" applyAlignment="1">
      <alignment horizontal="left" vertical="center"/>
    </xf>
    <xf numFmtId="1" fontId="39" fillId="0" borderId="43" xfId="0" applyNumberFormat="1" applyFont="1" applyBorder="1" applyAlignment="1">
      <alignment horizontal="center"/>
    </xf>
    <xf numFmtId="1" fontId="40" fillId="43" borderId="43" xfId="0" applyNumberFormat="1" applyFont="1" applyFill="1" applyBorder="1" applyAlignment="1">
      <alignment horizontal="center"/>
    </xf>
    <xf numFmtId="49" fontId="43" fillId="45" borderId="43" xfId="0" applyNumberFormat="1" applyFont="1" applyFill="1" applyBorder="1" applyAlignment="1">
      <alignment horizontal="right" vertical="center"/>
    </xf>
    <xf numFmtId="0" fontId="43" fillId="45" borderId="43" xfId="0" applyFont="1" applyFill="1" applyBorder="1" applyAlignment="1">
      <alignment horizontal="left" vertical="center"/>
    </xf>
    <xf numFmtId="0" fontId="44" fillId="45" borderId="43" xfId="0" applyFont="1" applyFill="1" applyBorder="1" applyAlignment="1">
      <alignment horizontal="left" vertical="center"/>
    </xf>
    <xf numFmtId="0" fontId="79" fillId="45" borderId="43" xfId="0" applyFont="1" applyFill="1" applyBorder="1" applyAlignment="1">
      <alignment horizontal="left" vertical="center"/>
    </xf>
    <xf numFmtId="0" fontId="43" fillId="45" borderId="43" xfId="0" applyFont="1" applyFill="1" applyBorder="1" applyAlignment="1">
      <alignment horizontal="center" vertical="center"/>
    </xf>
    <xf numFmtId="0" fontId="46" fillId="44" borderId="43" xfId="159" applyFont="1" applyFill="1" applyBorder="1" applyAlignment="1">
      <alignment vertical="center"/>
    </xf>
    <xf numFmtId="49" fontId="47" fillId="44" borderId="43" xfId="159" applyNumberFormat="1" applyFont="1" applyFill="1" applyBorder="1"/>
    <xf numFmtId="0" fontId="48" fillId="44" borderId="43" xfId="159" applyFont="1" applyFill="1" applyBorder="1" applyAlignment="1">
      <alignment horizontal="left" vertical="center"/>
    </xf>
    <xf numFmtId="0" fontId="46" fillId="44" borderId="43" xfId="159" applyFont="1" applyFill="1" applyBorder="1" applyAlignment="1">
      <alignment horizontal="right" vertical="center"/>
    </xf>
    <xf numFmtId="1" fontId="49" fillId="44" borderId="43" xfId="159" applyNumberFormat="1" applyFont="1" applyFill="1" applyBorder="1" applyAlignment="1">
      <alignment horizontal="left" vertical="center"/>
    </xf>
    <xf numFmtId="1" fontId="39" fillId="0" borderId="43" xfId="160" applyNumberFormat="1" applyFont="1" applyBorder="1" applyAlignment="1">
      <alignment horizontal="center"/>
    </xf>
    <xf numFmtId="1" fontId="40" fillId="43" borderId="43" xfId="160" applyNumberFormat="1" applyFont="1" applyFill="1" applyBorder="1" applyAlignment="1">
      <alignment horizontal="center"/>
    </xf>
    <xf numFmtId="49" fontId="43" fillId="45" borderId="43" xfId="160" applyNumberFormat="1" applyFont="1" applyFill="1" applyBorder="1" applyAlignment="1">
      <alignment horizontal="right" vertical="center"/>
    </xf>
    <xf numFmtId="0" fontId="43" fillId="45" borderId="43" xfId="160" applyFont="1" applyFill="1" applyBorder="1" applyAlignment="1">
      <alignment horizontal="left" vertical="center"/>
    </xf>
    <xf numFmtId="0" fontId="44" fillId="45" borderId="43" xfId="160" applyFont="1" applyFill="1" applyBorder="1" applyAlignment="1">
      <alignment horizontal="left" vertical="center"/>
    </xf>
    <xf numFmtId="167" fontId="43" fillId="45" borderId="43" xfId="0" applyNumberFormat="1" applyFont="1" applyFill="1" applyBorder="1" applyAlignment="1">
      <alignment horizontal="left" vertical="center"/>
    </xf>
    <xf numFmtId="0" fontId="38" fillId="44" borderId="43" xfId="0" applyFont="1" applyFill="1" applyBorder="1" applyAlignment="1">
      <alignment horizontal="left" vertical="center"/>
    </xf>
    <xf numFmtId="0" fontId="77" fillId="44" borderId="43" xfId="0" applyFont="1" applyFill="1" applyBorder="1" applyAlignment="1">
      <alignment horizontal="left" vertical="center"/>
    </xf>
  </cellXfs>
  <cellStyles count="167">
    <cellStyle name="%" xfId="74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84" xr:uid="{00000000-0005-0000-0000-000001000000}"/>
    <cellStyle name="20% - Accent1" xfId="17" builtinId="30" customBuiltin="1"/>
    <cellStyle name="20% - Accent1 2" xfId="85" xr:uid="{00000000-0005-0000-0000-000003000000}"/>
    <cellStyle name="20% - Accent2" xfId="21" builtinId="34" customBuiltin="1"/>
    <cellStyle name="20% - Accent2 2" xfId="86" xr:uid="{00000000-0005-0000-0000-000005000000}"/>
    <cellStyle name="20% - Accent3" xfId="25" builtinId="38" customBuiltin="1"/>
    <cellStyle name="20% - Accent3 2" xfId="87" xr:uid="{00000000-0005-0000-0000-000007000000}"/>
    <cellStyle name="20% - Accent4" xfId="29" builtinId="42" customBuiltin="1"/>
    <cellStyle name="20% - Accent4 2" xfId="88" xr:uid="{00000000-0005-0000-0000-000009000000}"/>
    <cellStyle name="20% - Accent5" xfId="33" builtinId="46" customBuiltin="1"/>
    <cellStyle name="20% - Accent5 2" xfId="89" xr:uid="{00000000-0005-0000-0000-00000B000000}"/>
    <cellStyle name="20% - Accent6" xfId="37" builtinId="50" customBuiltin="1"/>
    <cellStyle name="20% - Accent6 2" xfId="90" xr:uid="{00000000-0005-0000-0000-00000D000000}"/>
    <cellStyle name="40% - Accent1" xfId="18" builtinId="31" customBuiltin="1"/>
    <cellStyle name="40% - Accent1 2" xfId="91" xr:uid="{00000000-0005-0000-0000-00000F000000}"/>
    <cellStyle name="40% - Accent2" xfId="22" builtinId="35" customBuiltin="1"/>
    <cellStyle name="40% - Accent2 2" xfId="92" xr:uid="{00000000-0005-0000-0000-000011000000}"/>
    <cellStyle name="40% - Accent3" xfId="26" builtinId="39" customBuiltin="1"/>
    <cellStyle name="40% - Accent3 2" xfId="93" xr:uid="{00000000-0005-0000-0000-000013000000}"/>
    <cellStyle name="40% - Accent4" xfId="30" builtinId="43" customBuiltin="1"/>
    <cellStyle name="40% - Accent4 2" xfId="94" xr:uid="{00000000-0005-0000-0000-000015000000}"/>
    <cellStyle name="40% - Accent5" xfId="34" builtinId="47" customBuiltin="1"/>
    <cellStyle name="40% - Accent5 2" xfId="95" xr:uid="{00000000-0005-0000-0000-000017000000}"/>
    <cellStyle name="40% - Accent6" xfId="38" builtinId="51" customBuiltin="1"/>
    <cellStyle name="40% - Accent6 2" xfId="96" xr:uid="{00000000-0005-0000-0000-000019000000}"/>
    <cellStyle name="60% - Accent1" xfId="19" builtinId="32" customBuiltin="1"/>
    <cellStyle name="60% - Accent1 2" xfId="97" xr:uid="{00000000-0005-0000-0000-00001B000000}"/>
    <cellStyle name="60% - Accent2" xfId="23" builtinId="36" customBuiltin="1"/>
    <cellStyle name="60% - Accent2 2" xfId="98" xr:uid="{00000000-0005-0000-0000-00001D000000}"/>
    <cellStyle name="60% - Accent3" xfId="27" builtinId="40" customBuiltin="1"/>
    <cellStyle name="60% - Accent3 2" xfId="99" xr:uid="{00000000-0005-0000-0000-00001F000000}"/>
    <cellStyle name="60% - Accent4" xfId="31" builtinId="44" customBuiltin="1"/>
    <cellStyle name="60% - Accent4 2" xfId="100" xr:uid="{00000000-0005-0000-0000-000021000000}"/>
    <cellStyle name="60% - Accent5" xfId="35" builtinId="48" customBuiltin="1"/>
    <cellStyle name="60% - Accent5 2" xfId="101" xr:uid="{00000000-0005-0000-0000-000023000000}"/>
    <cellStyle name="60% - Accent6" xfId="39" builtinId="52" customBuiltin="1"/>
    <cellStyle name="60% - Accent6 2" xfId="102" xr:uid="{00000000-0005-0000-0000-000025000000}"/>
    <cellStyle name="Accent1" xfId="16" builtinId="29" customBuiltin="1"/>
    <cellStyle name="Accent1 2" xfId="103" xr:uid="{00000000-0005-0000-0000-000027000000}"/>
    <cellStyle name="Accent2" xfId="20" builtinId="33" customBuiltin="1"/>
    <cellStyle name="Accent2 2" xfId="104" xr:uid="{00000000-0005-0000-0000-000029000000}"/>
    <cellStyle name="Accent3" xfId="24" builtinId="37" customBuiltin="1"/>
    <cellStyle name="Accent3 2" xfId="105" xr:uid="{00000000-0005-0000-0000-00002B000000}"/>
    <cellStyle name="Accent4" xfId="28" builtinId="41" customBuiltin="1"/>
    <cellStyle name="Accent4 2" xfId="106" xr:uid="{00000000-0005-0000-0000-00002D000000}"/>
    <cellStyle name="Accent5" xfId="32" builtinId="45" customBuiltin="1"/>
    <cellStyle name="Accent5 2" xfId="107" xr:uid="{00000000-0005-0000-0000-00002F000000}"/>
    <cellStyle name="Accent6" xfId="36" builtinId="49" customBuiltin="1"/>
    <cellStyle name="Accent6 2" xfId="108" xr:uid="{00000000-0005-0000-0000-000031000000}"/>
    <cellStyle name="Att1" xfId="109" xr:uid="{00000000-0005-0000-0000-000032000000}"/>
    <cellStyle name="Att1 2" xfId="110" xr:uid="{00000000-0005-0000-0000-000033000000}"/>
    <cellStyle name="Att1 3" xfId="111" xr:uid="{00000000-0005-0000-0000-000034000000}"/>
    <cellStyle name="Bad" xfId="6" builtinId="27" customBuiltin="1"/>
    <cellStyle name="Bad 2" xfId="112" xr:uid="{00000000-0005-0000-0000-000036000000}"/>
    <cellStyle name="BM CheckSum" xfId="40" xr:uid="{00000000-0005-0000-0000-000037000000}"/>
    <cellStyle name="BM Header Main" xfId="41" xr:uid="{00000000-0005-0000-0000-000038000000}"/>
    <cellStyle name="BM Header Secondary" xfId="42" xr:uid="{00000000-0005-0000-0000-000039000000}"/>
    <cellStyle name="BM Heading 1" xfId="43" xr:uid="{00000000-0005-0000-0000-00003A000000}"/>
    <cellStyle name="BM Heading 2" xfId="44" xr:uid="{00000000-0005-0000-0000-00003B000000}"/>
    <cellStyle name="BM Heading 3" xfId="45" xr:uid="{00000000-0005-0000-0000-00003C000000}"/>
    <cellStyle name="BM Input" xfId="46" xr:uid="{00000000-0005-0000-0000-00003D000000}"/>
    <cellStyle name="BM Input External Link" xfId="47" xr:uid="{00000000-0005-0000-0000-00003E000000}"/>
    <cellStyle name="BM Input Modeller" xfId="48" xr:uid="{00000000-0005-0000-0000-00003F000000}"/>
    <cellStyle name="BM Label" xfId="49" xr:uid="{00000000-0005-0000-0000-000040000000}"/>
    <cellStyle name="BM Modellers Input" xfId="50" xr:uid="{00000000-0005-0000-0000-000041000000}"/>
    <cellStyle name="BM UF" xfId="51" xr:uid="{00000000-0005-0000-0000-000042000000}"/>
    <cellStyle name="BMNumber" xfId="52" xr:uid="{00000000-0005-0000-0000-000043000000}"/>
    <cellStyle name="BMRangeName" xfId="53" xr:uid="{00000000-0005-0000-0000-000044000000}"/>
    <cellStyle name="bold_text" xfId="113" xr:uid="{00000000-0005-0000-0000-000045000000}"/>
    <cellStyle name="boldbluetxt_green" xfId="114" xr:uid="{00000000-0005-0000-0000-000046000000}"/>
    <cellStyle name="box" xfId="115" xr:uid="{00000000-0005-0000-0000-000047000000}"/>
    <cellStyle name="box 2" xfId="116" xr:uid="{00000000-0005-0000-0000-000048000000}"/>
    <cellStyle name="box 3" xfId="117" xr:uid="{00000000-0005-0000-0000-000049000000}"/>
    <cellStyle name="Brand Align Left Text" xfId="54" xr:uid="{00000000-0005-0000-0000-00004A000000}"/>
    <cellStyle name="Brand Default" xfId="55" xr:uid="{00000000-0005-0000-0000-00004B000000}"/>
    <cellStyle name="Brand Percent" xfId="56" xr:uid="{00000000-0005-0000-0000-00004C000000}"/>
    <cellStyle name="Brand Source" xfId="57" xr:uid="{00000000-0005-0000-0000-00004D000000}"/>
    <cellStyle name="Brand Subtitle with Underline" xfId="58" xr:uid="{00000000-0005-0000-0000-00004E000000}"/>
    <cellStyle name="Brand Subtitle without Underline" xfId="59" xr:uid="{00000000-0005-0000-0000-00004F000000}"/>
    <cellStyle name="Brand Title" xfId="60" xr:uid="{00000000-0005-0000-0000-000050000000}"/>
    <cellStyle name="Calculation" xfId="10" builtinId="22" customBuiltin="1"/>
    <cellStyle name="Calculation 2" xfId="118" xr:uid="{00000000-0005-0000-0000-000052000000}"/>
    <cellStyle name="Check Cell" xfId="12" builtinId="23" customBuiltin="1"/>
    <cellStyle name="Check Cell 2" xfId="119" xr:uid="{00000000-0005-0000-0000-000054000000}"/>
    <cellStyle name="Comma 2" xfId="75" xr:uid="{00000000-0005-0000-0000-000055000000}"/>
    <cellStyle name="Comma 3" xfId="76" xr:uid="{00000000-0005-0000-0000-000056000000}"/>
    <cellStyle name="Comma 3 2" xfId="120" xr:uid="{00000000-0005-0000-0000-000057000000}"/>
    <cellStyle name="Comma 3 2 2" xfId="121" xr:uid="{00000000-0005-0000-0000-000058000000}"/>
    <cellStyle name="Comma 3 3" xfId="122" xr:uid="{00000000-0005-0000-0000-000059000000}"/>
    <cellStyle name="Comma 4" xfId="123" xr:uid="{00000000-0005-0000-0000-00005A000000}"/>
    <cellStyle name="Comma 5" xfId="77" xr:uid="{00000000-0005-0000-0000-00005B000000}"/>
    <cellStyle name="Comma 6" xfId="124" xr:uid="{00000000-0005-0000-0000-00005C000000}"/>
    <cellStyle name="Comma 7" xfId="125" xr:uid="{00000000-0005-0000-0000-00005D000000}"/>
    <cellStyle name="Error" xfId="61" xr:uid="{00000000-0005-0000-0000-00005E000000}"/>
    <cellStyle name="Explanatory Text" xfId="14" builtinId="53" customBuiltin="1"/>
    <cellStyle name="Explanatory Text 2" xfId="126" xr:uid="{00000000-0005-0000-0000-000060000000}"/>
    <cellStyle name="False" xfId="62" xr:uid="{00000000-0005-0000-0000-000061000000}"/>
    <cellStyle name="Fountain Col Header" xfId="127" xr:uid="{00000000-0005-0000-0000-000062000000}"/>
    <cellStyle name="Fountain Error" xfId="128" xr:uid="{00000000-0005-0000-0000-000063000000}"/>
    <cellStyle name="Fountain Input" xfId="129" xr:uid="{00000000-0005-0000-0000-000064000000}"/>
    <cellStyle name="Fountain Input 2" xfId="161" xr:uid="{00000000-0005-0000-0000-000065000000}"/>
    <cellStyle name="Fountain Table Header" xfId="130" xr:uid="{00000000-0005-0000-0000-000066000000}"/>
    <cellStyle name="Fountain Text" xfId="131" xr:uid="{00000000-0005-0000-0000-000067000000}"/>
    <cellStyle name="Fountain Text 2" xfId="162" xr:uid="{00000000-0005-0000-0000-000068000000}"/>
    <cellStyle name="Fountain Text 4" xfId="163" xr:uid="{00000000-0005-0000-0000-000069000000}"/>
    <cellStyle name="Good" xfId="5" builtinId="26" customBuiltin="1"/>
    <cellStyle name="Good 2" xfId="132" xr:uid="{00000000-0005-0000-0000-00006B000000}"/>
    <cellStyle name="Header" xfId="133" xr:uid="{00000000-0005-0000-0000-00006C000000}"/>
    <cellStyle name="Header3rdlevel" xfId="134" xr:uid="{00000000-0005-0000-0000-00006D000000}"/>
    <cellStyle name="Header3rdlevel 2" xfId="135" xr:uid="{00000000-0005-0000-0000-00006E000000}"/>
    <cellStyle name="Header3rdlevel 3" xfId="136" xr:uid="{00000000-0005-0000-0000-00006F000000}"/>
    <cellStyle name="Heading 1" xfId="1" builtinId="16" customBuiltin="1"/>
    <cellStyle name="Heading 1 2" xfId="137" xr:uid="{00000000-0005-0000-0000-000071000000}"/>
    <cellStyle name="Heading 2" xfId="2" builtinId="17" customBuiltin="1"/>
    <cellStyle name="Heading 2 2" xfId="138" xr:uid="{00000000-0005-0000-0000-000073000000}"/>
    <cellStyle name="Heading 3" xfId="3" builtinId="18" customBuiltin="1"/>
    <cellStyle name="Heading 3 2" xfId="139" xr:uid="{00000000-0005-0000-0000-000075000000}"/>
    <cellStyle name="Heading 4" xfId="4" builtinId="19" customBuiltin="1"/>
    <cellStyle name="Heading 4 2" xfId="140" xr:uid="{00000000-0005-0000-0000-000077000000}"/>
    <cellStyle name="Hyperlink 2" xfId="141" xr:uid="{00000000-0005-0000-0000-000078000000}"/>
    <cellStyle name="Hyperlink 3" xfId="142" xr:uid="{00000000-0005-0000-0000-000079000000}"/>
    <cellStyle name="In Development" xfId="63" xr:uid="{00000000-0005-0000-0000-00007A000000}"/>
    <cellStyle name="Input" xfId="8" builtinId="20" customBuiltin="1"/>
    <cellStyle name="Input 2" xfId="143" xr:uid="{00000000-0005-0000-0000-00007C000000}"/>
    <cellStyle name="Linked Cell" xfId="11" builtinId="24" customBuiltin="1"/>
    <cellStyle name="Linked Cell 2" xfId="144" xr:uid="{00000000-0005-0000-0000-00007E000000}"/>
    <cellStyle name="Neutral" xfId="7" builtinId="28" customBuiltin="1"/>
    <cellStyle name="Neutral 2" xfId="145" xr:uid="{00000000-0005-0000-0000-000080000000}"/>
    <cellStyle name="NJS" xfId="146" xr:uid="{00000000-0005-0000-0000-000081000000}"/>
    <cellStyle name="No Error" xfId="64" xr:uid="{00000000-0005-0000-0000-000082000000}"/>
    <cellStyle name="Normal" xfId="0" builtinId="0" customBuiltin="1"/>
    <cellStyle name="Normal 2" xfId="65" xr:uid="{00000000-0005-0000-0000-000084000000}"/>
    <cellStyle name="Normal 2 2" xfId="66" xr:uid="{00000000-0005-0000-0000-000085000000}"/>
    <cellStyle name="Normal 2 3" xfId="164" xr:uid="{00000000-0005-0000-0000-000086000000}"/>
    <cellStyle name="Normal 3" xfId="67" xr:uid="{00000000-0005-0000-0000-000087000000}"/>
    <cellStyle name="Normal 3 2" xfId="147" xr:uid="{00000000-0005-0000-0000-000088000000}"/>
    <cellStyle name="Normal 4" xfId="72" xr:uid="{00000000-0005-0000-0000-000089000000}"/>
    <cellStyle name="Normal 4 2" xfId="78" xr:uid="{00000000-0005-0000-0000-00008A000000}"/>
    <cellStyle name="Normal 4 2 2" xfId="159" xr:uid="{00000000-0005-0000-0000-00008B000000}"/>
    <cellStyle name="Normal 5" xfId="79" xr:uid="{00000000-0005-0000-0000-00008C000000}"/>
    <cellStyle name="Normal 5 2" xfId="148" xr:uid="{00000000-0005-0000-0000-00008D000000}"/>
    <cellStyle name="Normal 6" xfId="80" xr:uid="{00000000-0005-0000-0000-00008E000000}"/>
    <cellStyle name="Normal 7" xfId="149" xr:uid="{00000000-0005-0000-0000-00008F000000}"/>
    <cellStyle name="Normal 8" xfId="150" xr:uid="{00000000-0005-0000-0000-000090000000}"/>
    <cellStyle name="Normal 9" xfId="160" xr:uid="{00000000-0005-0000-0000-000091000000}"/>
    <cellStyle name="Note 2" xfId="68" xr:uid="{00000000-0005-0000-0000-000092000000}"/>
    <cellStyle name="Output" xfId="9" builtinId="21" customBuiltin="1"/>
    <cellStyle name="Output 2" xfId="151" xr:uid="{00000000-0005-0000-0000-000094000000}"/>
    <cellStyle name="Percent" xfId="166" builtinId="5"/>
    <cellStyle name="Percent 2" xfId="73" xr:uid="{00000000-0005-0000-0000-000096000000}"/>
    <cellStyle name="Percent 2 2" xfId="152" xr:uid="{00000000-0005-0000-0000-000097000000}"/>
    <cellStyle name="Percent 3" xfId="81" xr:uid="{00000000-0005-0000-0000-000098000000}"/>
    <cellStyle name="Percent 4" xfId="83" xr:uid="{00000000-0005-0000-0000-000099000000}"/>
    <cellStyle name="Percent 4 2" xfId="82" xr:uid="{00000000-0005-0000-0000-00009A000000}"/>
    <cellStyle name="Percent 5" xfId="153" xr:uid="{00000000-0005-0000-0000-00009B000000}"/>
    <cellStyle name="Style 1" xfId="69" xr:uid="{00000000-0005-0000-0000-00009C000000}"/>
    <cellStyle name="Title 2" xfId="154" xr:uid="{00000000-0005-0000-0000-00009D000000}"/>
    <cellStyle name="Total" xfId="15" builtinId="25" customBuiltin="1"/>
    <cellStyle name="Total 2" xfId="155" xr:uid="{00000000-0005-0000-0000-00009F000000}"/>
    <cellStyle name="True" xfId="70" xr:uid="{00000000-0005-0000-0000-0000A0000000}"/>
    <cellStyle name="True 2" xfId="165" xr:uid="{00000000-0005-0000-0000-0000A1000000}"/>
    <cellStyle name="Unique Formula" xfId="71" xr:uid="{00000000-0005-0000-0000-0000A2000000}"/>
    <cellStyle name="Warning Text" xfId="13" builtinId="11" customBuiltin="1"/>
    <cellStyle name="Warning Text 2" xfId="156" xr:uid="{00000000-0005-0000-0000-0000A4000000}"/>
    <cellStyle name="white_text_on_blue" xfId="157" xr:uid="{00000000-0005-0000-0000-0000A5000000}"/>
    <cellStyle name="year_formats_pink" xfId="158" xr:uid="{00000000-0005-0000-0000-0000A6000000}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conomic%20Reg\Regulatory%20Finance\WWSL%20Mini%20Model\PR14%20Rule%20book\Feb%2016%20Final%20Rulebook\Working%20Tables%20JS\My%20tables\PR19%20-%20Table%20WWS13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conomic%20Reg\Regulatory%20Finance\WWSL%20Mini%20Model\PR14%20Rule%20book\Feb%2016%20Final%20Rulebook\Working%20Tables%20JS\My%20tables\PR19%20-%20Table%20WS13%20Working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S13 June 25th"/>
      <sheetName val="WWS13 May update"/>
      <sheetName val="WWS13"/>
      <sheetName val="Other calcs"/>
      <sheetName val="APR 2I 2016"/>
      <sheetName val="APR 2I 2017"/>
      <sheetName val="APR 2I 2018 (Version 0.2)"/>
      <sheetName val="Budget 2018-19"/>
      <sheetName val="App28"/>
    </sheetNames>
    <sheetDataSet>
      <sheetData sheetId="0">
        <row r="24">
          <cell r="H24">
            <v>-6.7963260966498096</v>
          </cell>
        </row>
        <row r="36">
          <cell r="I36">
            <v>302.5</v>
          </cell>
          <cell r="J36">
            <v>306.97499999999997</v>
          </cell>
          <cell r="K36">
            <v>315.90000000000003</v>
          </cell>
          <cell r="L36">
            <v>318.81200000000001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13 June 25th"/>
      <sheetName val="WS13 May update"/>
      <sheetName val="WS13"/>
      <sheetName val="Other Calcs"/>
      <sheetName val="Graphs"/>
      <sheetName val="APR 2I 2016"/>
      <sheetName val="APR 2I 2017"/>
      <sheetName val="APR 2I 2018 (Version 0.4)"/>
      <sheetName val="Budget 2018-19"/>
      <sheetName val="App28"/>
    </sheetNames>
    <sheetDataSet>
      <sheetData sheetId="0"/>
      <sheetData sheetId="1" refreshError="1"/>
      <sheetData sheetId="2">
        <row r="24">
          <cell r="H24">
            <v>-3.5118934567193199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XFC39"/>
  <sheetViews>
    <sheetView showGridLines="0" zoomScale="80" zoomScaleNormal="80" workbookViewId="0" xr3:uid="{AEA406A1-0E4B-5B11-9CD5-51D6E497D94C}">
      <pane xSplit="1" ySplit="3" topLeftCell="B13" activePane="bottomRight" state="frozen"/>
      <selection pane="bottomRight" activeCell="B5" sqref="B5:E9"/>
      <selection pane="bottomLeft" activeCell="A4" sqref="A4"/>
      <selection pane="topRight" activeCell="B1" sqref="B1"/>
    </sheetView>
  </sheetViews>
  <sheetFormatPr defaultColWidth="0" defaultRowHeight="13.15"/>
  <cols>
    <col min="1" max="2" width="9.140625" customWidth="1"/>
    <col min="3" max="4" width="50.7109375" style="74" customWidth="1"/>
    <col min="5" max="5" width="15.85546875" style="74" customWidth="1"/>
    <col min="6" max="6" width="14.7109375" style="74" customWidth="1"/>
    <col min="7" max="7" width="0" hidden="1" customWidth="1"/>
    <col min="8" max="16383" width="9.140625" hidden="1"/>
    <col min="16384" max="16384" width="9" hidden="1" customWidth="1"/>
  </cols>
  <sheetData>
    <row r="1" spans="1:6" s="10" customFormat="1" ht="33">
      <c r="A1" s="119" t="s">
        <v>0</v>
      </c>
      <c r="B1" s="119"/>
      <c r="C1" s="119"/>
      <c r="D1" s="119"/>
      <c r="E1" s="119"/>
      <c r="F1" s="119"/>
    </row>
    <row r="2" spans="1:6">
      <c r="A2" s="11"/>
      <c r="B2" s="11"/>
      <c r="C2" s="84"/>
      <c r="D2" s="84"/>
      <c r="E2" s="84"/>
      <c r="F2" s="84"/>
    </row>
    <row r="3" spans="1:6" ht="15.6">
      <c r="A3" s="11"/>
      <c r="B3" s="83" t="s">
        <v>1</v>
      </c>
      <c r="C3" s="83" t="s">
        <v>2</v>
      </c>
      <c r="D3" s="83" t="s">
        <v>3</v>
      </c>
      <c r="E3" s="83" t="s">
        <v>4</v>
      </c>
      <c r="F3" s="83" t="s">
        <v>5</v>
      </c>
    </row>
    <row r="4" spans="1:6">
      <c r="A4" s="11"/>
      <c r="B4" s="11"/>
      <c r="C4" s="84"/>
      <c r="D4" s="84"/>
      <c r="E4" s="84"/>
      <c r="F4" s="84"/>
    </row>
    <row r="5" spans="1:6" ht="129.75" customHeight="1">
      <c r="A5" s="11"/>
      <c r="B5" s="78">
        <v>1</v>
      </c>
      <c r="C5" s="101" t="s">
        <v>6</v>
      </c>
      <c r="D5" s="101" t="s">
        <v>7</v>
      </c>
      <c r="E5" s="101" t="s">
        <v>8</v>
      </c>
      <c r="F5" s="79" t="s">
        <v>9</v>
      </c>
    </row>
    <row r="6" spans="1:6" ht="124.5" customHeight="1">
      <c r="A6" s="11"/>
      <c r="B6" s="80">
        <v>2</v>
      </c>
      <c r="C6" s="76" t="s">
        <v>10</v>
      </c>
      <c r="D6" s="76" t="s">
        <v>11</v>
      </c>
      <c r="E6" s="76" t="s">
        <v>8</v>
      </c>
      <c r="F6" s="81" t="s">
        <v>12</v>
      </c>
    </row>
    <row r="7" spans="1:6" ht="72.75" customHeight="1">
      <c r="A7" s="11"/>
      <c r="B7" s="80">
        <v>3</v>
      </c>
      <c r="C7" s="76" t="s">
        <v>13</v>
      </c>
      <c r="D7" s="76" t="s">
        <v>14</v>
      </c>
      <c r="E7" s="76" t="s">
        <v>8</v>
      </c>
      <c r="F7" s="82" t="s">
        <v>15</v>
      </c>
    </row>
    <row r="8" spans="1:6" ht="108.75" customHeight="1">
      <c r="A8" s="11"/>
      <c r="B8" s="80">
        <v>4</v>
      </c>
      <c r="C8" s="77" t="s">
        <v>16</v>
      </c>
      <c r="D8" s="76" t="s">
        <v>17</v>
      </c>
      <c r="E8" s="76" t="s">
        <v>8</v>
      </c>
      <c r="F8" s="82" t="s">
        <v>15</v>
      </c>
    </row>
    <row r="9" spans="1:6" ht="39.6">
      <c r="A9" s="11"/>
      <c r="B9" s="78">
        <v>5</v>
      </c>
      <c r="C9" s="101" t="s">
        <v>18</v>
      </c>
      <c r="D9" s="102" t="s">
        <v>19</v>
      </c>
      <c r="E9" s="102" t="s">
        <v>20</v>
      </c>
      <c r="F9" s="79" t="s">
        <v>21</v>
      </c>
    </row>
    <row r="10" spans="1:6" ht="26.45">
      <c r="A10" s="11"/>
      <c r="B10" s="78">
        <v>6</v>
      </c>
      <c r="C10" s="101" t="s">
        <v>22</v>
      </c>
      <c r="D10" s="102" t="s">
        <v>23</v>
      </c>
      <c r="E10" s="102" t="s">
        <v>24</v>
      </c>
      <c r="F10" s="103" t="s">
        <v>25</v>
      </c>
    </row>
    <row r="11" spans="1:6" s="85" customFormat="1" ht="26.45">
      <c r="A11" s="11"/>
      <c r="B11" s="78">
        <v>7</v>
      </c>
      <c r="C11" s="102" t="s">
        <v>26</v>
      </c>
      <c r="D11" s="102" t="s">
        <v>27</v>
      </c>
      <c r="E11" s="101" t="s">
        <v>28</v>
      </c>
      <c r="F11" s="102" t="s">
        <v>29</v>
      </c>
    </row>
    <row r="12" spans="1:6" ht="66">
      <c r="A12" s="11"/>
      <c r="B12" s="102">
        <v>8</v>
      </c>
      <c r="C12" s="101" t="s">
        <v>30</v>
      </c>
      <c r="D12" s="101" t="s">
        <v>31</v>
      </c>
      <c r="E12" s="101" t="s">
        <v>32</v>
      </c>
      <c r="F12" s="101" t="s">
        <v>33</v>
      </c>
    </row>
    <row r="13" spans="1:6" ht="26.45">
      <c r="A13" s="11"/>
      <c r="B13" s="102">
        <v>9</v>
      </c>
      <c r="C13" s="101" t="s">
        <v>34</v>
      </c>
      <c r="D13" s="101" t="s">
        <v>35</v>
      </c>
      <c r="E13" s="101" t="s">
        <v>28</v>
      </c>
      <c r="F13" s="101" t="s">
        <v>36</v>
      </c>
    </row>
    <row r="14" spans="1:6" ht="39.6">
      <c r="A14" s="11"/>
      <c r="B14" s="102">
        <v>10</v>
      </c>
      <c r="C14" s="101" t="s">
        <v>37</v>
      </c>
      <c r="D14" s="101" t="s">
        <v>38</v>
      </c>
      <c r="E14" s="101" t="s">
        <v>28</v>
      </c>
      <c r="F14" s="101" t="s">
        <v>39</v>
      </c>
    </row>
    <row r="15" spans="1:6" ht="39.6">
      <c r="A15" s="116"/>
      <c r="B15" s="102">
        <v>11</v>
      </c>
      <c r="C15" s="101" t="s">
        <v>40</v>
      </c>
      <c r="D15" s="101" t="s">
        <v>41</v>
      </c>
      <c r="E15" s="101" t="s">
        <v>42</v>
      </c>
      <c r="F15" s="101" t="s">
        <v>43</v>
      </c>
    </row>
    <row r="16" spans="1:6">
      <c r="A16" s="116">
        <v>43070</v>
      </c>
      <c r="B16" s="109">
        <v>12</v>
      </c>
      <c r="C16" s="110" t="s">
        <v>44</v>
      </c>
      <c r="D16" s="110" t="s">
        <v>45</v>
      </c>
      <c r="E16" s="109" t="s">
        <v>46</v>
      </c>
      <c r="F16" s="109" t="s">
        <v>47</v>
      </c>
    </row>
    <row r="17" spans="1:6">
      <c r="A17" s="116">
        <v>43070</v>
      </c>
      <c r="B17" s="109">
        <v>13</v>
      </c>
      <c r="C17" s="110" t="s">
        <v>48</v>
      </c>
      <c r="D17" s="110" t="s">
        <v>49</v>
      </c>
      <c r="E17" s="109" t="s">
        <v>46</v>
      </c>
      <c r="F17" s="109" t="s">
        <v>50</v>
      </c>
    </row>
    <row r="18" spans="1:6" ht="26.45">
      <c r="A18" s="116">
        <v>43070</v>
      </c>
      <c r="B18" s="109">
        <v>14</v>
      </c>
      <c r="C18" s="110" t="s">
        <v>51</v>
      </c>
      <c r="D18" s="110" t="s">
        <v>52</v>
      </c>
      <c r="E18" s="109" t="s">
        <v>46</v>
      </c>
      <c r="F18" s="110" t="s">
        <v>53</v>
      </c>
    </row>
    <row r="19" spans="1:6" ht="39.6">
      <c r="A19" s="116">
        <v>43070</v>
      </c>
      <c r="B19" s="109">
        <v>15</v>
      </c>
      <c r="C19" s="110" t="s">
        <v>54</v>
      </c>
      <c r="D19" s="110" t="s">
        <v>55</v>
      </c>
      <c r="E19" s="109" t="s">
        <v>24</v>
      </c>
      <c r="F19" s="110" t="s">
        <v>56</v>
      </c>
    </row>
    <row r="20" spans="1:6" ht="76.900000000000006" customHeight="1">
      <c r="A20" s="116">
        <v>43070</v>
      </c>
      <c r="B20" s="109">
        <v>16</v>
      </c>
      <c r="C20" s="110" t="s">
        <v>57</v>
      </c>
      <c r="D20" s="110" t="s">
        <v>58</v>
      </c>
      <c r="E20" s="110" t="s">
        <v>59</v>
      </c>
      <c r="F20" s="110" t="s">
        <v>60</v>
      </c>
    </row>
    <row r="21" spans="1:6" ht="66">
      <c r="A21" s="116">
        <v>43252</v>
      </c>
      <c r="B21" s="111">
        <v>17</v>
      </c>
      <c r="C21" s="112" t="s">
        <v>61</v>
      </c>
      <c r="D21" s="112" t="s">
        <v>62</v>
      </c>
      <c r="E21" s="112" t="s">
        <v>28</v>
      </c>
      <c r="F21" s="112" t="s">
        <v>63</v>
      </c>
    </row>
    <row r="22" spans="1:6">
      <c r="A22" s="11"/>
      <c r="B22" s="11"/>
      <c r="C22" s="84"/>
      <c r="D22" s="84"/>
      <c r="E22" s="84"/>
      <c r="F22" s="84"/>
    </row>
    <row r="23" spans="1:6">
      <c r="A23" s="11"/>
      <c r="B23" s="11"/>
      <c r="C23" s="84"/>
      <c r="D23" s="84"/>
      <c r="E23" s="84"/>
      <c r="F23" s="84"/>
    </row>
    <row r="24" spans="1:6">
      <c r="A24" s="11"/>
      <c r="B24" s="11"/>
      <c r="C24" s="84"/>
      <c r="D24" s="84"/>
      <c r="E24" s="84"/>
      <c r="F24" s="84"/>
    </row>
    <row r="25" spans="1:6">
      <c r="A25" s="11"/>
      <c r="B25" s="11"/>
      <c r="C25" s="84"/>
      <c r="D25" s="84"/>
      <c r="E25" s="84"/>
      <c r="F25" s="84"/>
    </row>
    <row r="26" spans="1:6">
      <c r="A26" s="11"/>
      <c r="B26" s="11"/>
      <c r="C26" s="84"/>
      <c r="D26" s="84"/>
      <c r="E26" s="84"/>
      <c r="F26" s="84"/>
    </row>
    <row r="27" spans="1:6">
      <c r="A27" s="11"/>
      <c r="B27" s="11"/>
      <c r="C27" s="84"/>
      <c r="D27" s="84"/>
      <c r="E27" s="84"/>
      <c r="F27" s="84"/>
    </row>
    <row r="28" spans="1:6">
      <c r="A28" s="11"/>
      <c r="B28" s="11"/>
      <c r="C28" s="84"/>
      <c r="D28" s="84"/>
      <c r="E28" s="84"/>
      <c r="F28" s="84"/>
    </row>
    <row r="29" spans="1:6">
      <c r="A29" s="11"/>
      <c r="B29" s="11"/>
      <c r="C29" s="84"/>
      <c r="D29" s="84"/>
      <c r="E29" s="84"/>
      <c r="F29" s="84"/>
    </row>
    <row r="30" spans="1:6">
      <c r="A30" s="11"/>
      <c r="B30" s="11"/>
      <c r="C30" s="84"/>
      <c r="D30" s="84"/>
      <c r="E30" s="84"/>
      <c r="F30" s="84"/>
    </row>
    <row r="31" spans="1:6">
      <c r="A31" s="11"/>
      <c r="B31" s="11"/>
      <c r="C31" s="84"/>
      <c r="D31" s="84"/>
      <c r="E31" s="84"/>
      <c r="F31" s="84"/>
    </row>
    <row r="32" spans="1:6">
      <c r="A32" s="11"/>
      <c r="B32" s="11"/>
      <c r="C32" s="84"/>
      <c r="D32" s="84"/>
      <c r="E32" s="84"/>
      <c r="F32" s="84"/>
    </row>
    <row r="33" spans="1:6">
      <c r="A33" s="11"/>
      <c r="B33" s="11"/>
      <c r="C33" s="84"/>
      <c r="D33" s="84"/>
      <c r="E33" s="84"/>
      <c r="F33" s="84"/>
    </row>
    <row r="34" spans="1:6">
      <c r="A34" s="11"/>
      <c r="B34" s="11"/>
      <c r="C34" s="84"/>
      <c r="D34" s="84"/>
      <c r="E34" s="84"/>
      <c r="F34" s="84"/>
    </row>
    <row r="35" spans="1:6">
      <c r="A35" s="11"/>
      <c r="B35" s="11"/>
      <c r="C35" s="84"/>
      <c r="D35" s="84"/>
      <c r="E35" s="84"/>
      <c r="F35" s="84"/>
    </row>
    <row r="36" spans="1:6">
      <c r="A36" s="11"/>
      <c r="B36" s="11"/>
      <c r="C36" s="84"/>
      <c r="D36" s="84"/>
      <c r="E36" s="84"/>
      <c r="F36" s="84"/>
    </row>
    <row r="37" spans="1:6">
      <c r="A37" s="11"/>
      <c r="B37" s="11"/>
      <c r="C37" s="84"/>
      <c r="D37" s="84"/>
      <c r="E37" s="84"/>
      <c r="F37" s="84"/>
    </row>
    <row r="38" spans="1:6">
      <c r="A38" s="11"/>
      <c r="B38" s="11"/>
      <c r="C38" s="84"/>
      <c r="D38" s="84"/>
      <c r="E38" s="84"/>
      <c r="F38" s="84"/>
    </row>
    <row r="39" spans="1:6">
      <c r="A39" s="11"/>
      <c r="B39" s="11"/>
      <c r="C39" s="84"/>
      <c r="D39" s="84"/>
      <c r="E39" s="84"/>
      <c r="F39" s="84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1"/>
  </sheetPr>
  <dimension ref="A1:X15"/>
  <sheetViews>
    <sheetView showGridLines="0" showRowColHeaders="0" zoomScale="75" zoomScaleNormal="75" workbookViewId="0" xr3:uid="{7BE570AB-09E9-518F-B8F7-3F91B7162CA9}">
      <selection activeCell="A20" sqref="A20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X11"/>
  <sheetViews>
    <sheetView showGridLines="0" zoomScale="75" zoomScaleNormal="75" workbookViewId="0" xr3:uid="{65FA3815-DCC1-5481-872F-D2879ED395ED}">
      <pane xSplit="8" ySplit="7" topLeftCell="I8" activePane="bottomRight" state="frozen"/>
      <selection pane="bottomRight" activeCell="I8" sqref="I8"/>
      <selection pane="bottomLeft" activeCell="A20" sqref="A20"/>
      <selection pane="topRight" activeCell="A20" sqref="A20"/>
    </sheetView>
  </sheetViews>
  <sheetFormatPr defaultColWidth="0" defaultRowHeight="13.15" zeroHeight="1"/>
  <cols>
    <col min="1" max="3" width="2.7109375" style="2" customWidth="1"/>
    <col min="4" max="4" width="9.7109375" style="2" customWidth="1"/>
    <col min="5" max="5" width="18.28515625" style="2" customWidth="1"/>
    <col min="6" max="8" width="2.7109375" style="2" customWidth="1"/>
    <col min="9" max="15" width="10" style="2" customWidth="1"/>
    <col min="16" max="18" width="10.42578125" style="2" customWidth="1"/>
    <col min="19" max="21" width="10.85546875" style="2" customWidth="1"/>
    <col min="22" max="22" width="15.85546875" style="2" customWidth="1"/>
    <col min="23" max="24" width="0" style="2" hidden="1" customWidth="1"/>
    <col min="25" max="16384" width="9.140625" style="2" hidden="1"/>
  </cols>
  <sheetData>
    <row r="1" spans="1:22" ht="33">
      <c r="A1" s="139"/>
      <c r="B1" s="139"/>
      <c r="C1" s="139"/>
      <c r="D1" s="119" t="s">
        <v>240</v>
      </c>
      <c r="E1" s="11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>
      <c r="A3" s="11"/>
      <c r="B3" s="11"/>
      <c r="C3" s="11"/>
      <c r="D3" s="11"/>
      <c r="E3" s="11" t="s">
        <v>65</v>
      </c>
      <c r="F3" s="11"/>
      <c r="G3" s="11"/>
      <c r="H3" s="11"/>
      <c r="I3" s="121" t="s">
        <v>241</v>
      </c>
      <c r="J3" s="121" t="s">
        <v>242</v>
      </c>
      <c r="K3" s="121" t="s">
        <v>243</v>
      </c>
      <c r="L3" s="122" t="s">
        <v>244</v>
      </c>
      <c r="M3" s="122" t="s">
        <v>245</v>
      </c>
      <c r="N3" s="122" t="s">
        <v>246</v>
      </c>
      <c r="O3" s="122" t="s">
        <v>247</v>
      </c>
      <c r="P3" s="122" t="s">
        <v>248</v>
      </c>
      <c r="Q3" s="121" t="s">
        <v>249</v>
      </c>
      <c r="R3" s="121" t="s">
        <v>250</v>
      </c>
      <c r="S3" s="121" t="s">
        <v>251</v>
      </c>
      <c r="T3" s="121" t="s">
        <v>252</v>
      </c>
      <c r="U3" s="121" t="s">
        <v>253</v>
      </c>
      <c r="V3" s="8" t="s">
        <v>254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66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255</v>
      </c>
    </row>
    <row r="6" spans="1:22">
      <c r="A6" s="11"/>
      <c r="B6" s="11"/>
      <c r="C6" s="11"/>
      <c r="D6" s="11"/>
      <c r="E6" s="11" t="s">
        <v>67</v>
      </c>
      <c r="F6" s="11"/>
      <c r="G6" s="11"/>
      <c r="H6" s="11"/>
      <c r="I6" s="11"/>
      <c r="J6" s="11"/>
      <c r="K6" s="3"/>
      <c r="L6" s="91">
        <v>1</v>
      </c>
      <c r="M6" s="91">
        <v>2</v>
      </c>
      <c r="N6" s="91">
        <v>3</v>
      </c>
      <c r="O6" s="91">
        <v>4</v>
      </c>
      <c r="P6" s="91">
        <v>5</v>
      </c>
      <c r="Q6" s="91">
        <v>6</v>
      </c>
      <c r="R6" s="91">
        <v>7</v>
      </c>
      <c r="S6" s="91">
        <v>8</v>
      </c>
      <c r="T6" s="91">
        <v>9</v>
      </c>
      <c r="U6" s="91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9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9" thickBot="1">
      <c r="A10" s="6" t="s">
        <v>127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1"/>
  </sheetPr>
  <dimension ref="A1:X15"/>
  <sheetViews>
    <sheetView showGridLines="0" showRowColHeaders="0" zoomScale="75" zoomScaleNormal="75" workbookViewId="0" xr3:uid="{958C4451-9541-5A59-BF78-D2F731DF1C81}">
      <selection activeCell="A20" sqref="A20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AE76"/>
  <sheetViews>
    <sheetView showGridLines="0" tabSelected="1" zoomScale="80" zoomScaleNormal="80" workbookViewId="0" xr3:uid="{842E5F09-E766-5B8D-85AF-A39847EA96FD}">
      <pane xSplit="8" ySplit="7" topLeftCell="I8" activePane="bottomRight" state="frozen"/>
      <selection pane="bottomRight" activeCell="Q37" sqref="Q37"/>
      <selection pane="bottomLeft" activeCell="A20" sqref="A20"/>
      <selection pane="topRight" activeCell="A20" sqref="A20"/>
    </sheetView>
  </sheetViews>
  <sheetFormatPr defaultColWidth="0" defaultRowHeight="13.15" zeroHeight="1"/>
  <cols>
    <col min="1" max="3" width="2.7109375" style="2" customWidth="1"/>
    <col min="4" max="4" width="9.7109375" style="2" customWidth="1"/>
    <col min="5" max="5" width="52.140625" style="2" customWidth="1"/>
    <col min="6" max="6" width="17.7109375" style="24" customWidth="1"/>
    <col min="7" max="7" width="10.5703125" style="2" customWidth="1"/>
    <col min="8" max="8" width="10.42578125" style="2" customWidth="1"/>
    <col min="9" max="11" width="10.140625" style="2" customWidth="1"/>
    <col min="12" max="21" width="10.5703125" style="2" customWidth="1"/>
    <col min="22" max="22" width="16.5703125" style="2" customWidth="1"/>
    <col min="23" max="23" width="9.140625" style="2" customWidth="1"/>
    <col min="24" max="31" width="0" style="2" hidden="1" customWidth="1"/>
    <col min="32" max="16384" width="9.140625" style="2" hidden="1"/>
  </cols>
  <sheetData>
    <row r="1" spans="1:23" s="1" customFormat="1" ht="33">
      <c r="A1" s="119"/>
      <c r="B1" s="119"/>
      <c r="C1" s="119"/>
      <c r="D1" s="119" t="s">
        <v>64</v>
      </c>
      <c r="E1" s="119"/>
      <c r="F1" s="120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s="1" customFormat="1" ht="13.9">
      <c r="F2" s="24"/>
      <c r="G2" s="11"/>
      <c r="O2" s="11"/>
      <c r="P2" s="11"/>
    </row>
    <row r="3" spans="1:23">
      <c r="A3" s="11"/>
      <c r="B3" s="11"/>
      <c r="C3" s="11"/>
      <c r="D3" s="11"/>
      <c r="E3" s="11" t="s">
        <v>65</v>
      </c>
      <c r="G3" s="11"/>
      <c r="H3" s="11"/>
      <c r="I3" s="121" t="str">
        <f t="shared" ref="I3:U3" si="0">AMP.Years</f>
        <v>2012-13</v>
      </c>
      <c r="J3" s="121" t="str">
        <f t="shared" si="0"/>
        <v>2013-14</v>
      </c>
      <c r="K3" s="121" t="str">
        <f t="shared" si="0"/>
        <v>2014-15</v>
      </c>
      <c r="L3" s="122" t="str">
        <f t="shared" si="0"/>
        <v>2015-16</v>
      </c>
      <c r="M3" s="122" t="str">
        <f t="shared" si="0"/>
        <v>2016-17</v>
      </c>
      <c r="N3" s="122" t="str">
        <f t="shared" si="0"/>
        <v>2017-18</v>
      </c>
      <c r="O3" s="122" t="str">
        <f t="shared" si="0"/>
        <v>2018-19</v>
      </c>
      <c r="P3" s="122" t="str">
        <f t="shared" si="0"/>
        <v>2019-20</v>
      </c>
      <c r="Q3" s="121" t="str">
        <f t="shared" si="0"/>
        <v>2020-21</v>
      </c>
      <c r="R3" s="121" t="str">
        <f t="shared" si="0"/>
        <v>2021-22</v>
      </c>
      <c r="S3" s="121" t="str">
        <f t="shared" si="0"/>
        <v>2022-23</v>
      </c>
      <c r="T3" s="121" t="str">
        <f t="shared" si="0"/>
        <v>2023-24</v>
      </c>
      <c r="U3" s="121" t="str">
        <f t="shared" si="0"/>
        <v>2024-25</v>
      </c>
      <c r="V3" s="8"/>
      <c r="W3" s="11"/>
    </row>
    <row r="4" spans="1:23">
      <c r="A4" s="91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>
      <c r="A5" s="11"/>
      <c r="B5" s="11"/>
      <c r="C5" s="11"/>
      <c r="D5" s="11"/>
      <c r="E5" s="11" t="s">
        <v>66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>
      <c r="A6" s="11"/>
      <c r="B6" s="11"/>
      <c r="C6" s="11"/>
      <c r="D6" s="11"/>
      <c r="E6" s="11" t="s">
        <v>67</v>
      </c>
      <c r="G6" s="11"/>
      <c r="H6" s="11"/>
      <c r="I6" s="11"/>
      <c r="J6" s="11"/>
      <c r="K6" s="3"/>
      <c r="L6" s="91">
        <v>1</v>
      </c>
      <c r="M6" s="91">
        <v>2</v>
      </c>
      <c r="N6" s="91">
        <v>3</v>
      </c>
      <c r="O6" s="91">
        <v>4</v>
      </c>
      <c r="P6" s="91">
        <v>5</v>
      </c>
      <c r="Q6" s="91">
        <v>6</v>
      </c>
      <c r="R6" s="91">
        <v>7</v>
      </c>
      <c r="S6" s="91">
        <v>8</v>
      </c>
      <c r="T6" s="91">
        <v>9</v>
      </c>
      <c r="U6" s="91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2"/>
      <c r="B8" s="123"/>
      <c r="C8" s="123"/>
      <c r="D8" s="124"/>
      <c r="E8" s="125" t="s">
        <v>68</v>
      </c>
      <c r="F8" s="126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69</v>
      </c>
      <c r="E10" s="11" t="s">
        <v>70</v>
      </c>
      <c r="G10" s="86" t="s">
        <v>71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/>
      <c r="B11" s="11"/>
      <c r="C11" s="11"/>
      <c r="D11" s="12" t="s">
        <v>69</v>
      </c>
      <c r="E11" s="11" t="s">
        <v>72</v>
      </c>
      <c r="G11" s="86" t="s">
        <v>73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/>
      <c r="B12" s="11"/>
      <c r="C12" s="11"/>
      <c r="D12" s="12" t="s">
        <v>74</v>
      </c>
      <c r="E12" s="11" t="s">
        <v>75</v>
      </c>
      <c r="G12" s="86" t="b">
        <v>1</v>
      </c>
      <c r="H12" s="11" t="s">
        <v>74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2"/>
      <c r="B13" s="123"/>
      <c r="C13" s="123"/>
      <c r="D13" s="124"/>
      <c r="E13" s="125" t="s">
        <v>76</v>
      </c>
      <c r="F13" s="126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11"/>
      <c r="B15" s="11"/>
      <c r="C15" s="11"/>
      <c r="D15" s="11"/>
      <c r="E15" s="5" t="s">
        <v>77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s="11"/>
      <c r="B16" s="11"/>
      <c r="C16" s="11"/>
      <c r="D16" s="12" t="s">
        <v>78</v>
      </c>
      <c r="E16" s="13" t="s">
        <v>79</v>
      </c>
      <c r="G16" s="93">
        <v>0.02</v>
      </c>
      <c r="H16" s="8" t="s">
        <v>80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s="11"/>
      <c r="B17" s="11"/>
      <c r="C17" s="11"/>
      <c r="D17" s="12" t="s">
        <v>78</v>
      </c>
      <c r="E17" s="13" t="s">
        <v>81</v>
      </c>
      <c r="G17" s="93">
        <v>0.03</v>
      </c>
      <c r="H17" s="8" t="s">
        <v>82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s="11"/>
      <c r="B19" s="11"/>
      <c r="C19" s="11"/>
      <c r="D19" s="12" t="s">
        <v>78</v>
      </c>
      <c r="E19" s="11" t="s">
        <v>83</v>
      </c>
      <c r="G19" s="93">
        <v>0.03</v>
      </c>
      <c r="H19" s="8" t="s">
        <v>84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D20" s="12" t="s">
        <v>78</v>
      </c>
      <c r="E20" s="11" t="s">
        <v>85</v>
      </c>
      <c r="F20" s="24"/>
      <c r="G20" s="93">
        <v>3.5999999999999997E-2</v>
      </c>
      <c r="H20" s="8" t="s">
        <v>86</v>
      </c>
    </row>
    <row r="21" spans="1:23" customFormat="1">
      <c r="F21" s="26"/>
      <c r="H21" s="11"/>
    </row>
    <row r="22" spans="1:23" customFormat="1">
      <c r="D22" s="12" t="s">
        <v>78</v>
      </c>
      <c r="E22" s="11" t="s">
        <v>87</v>
      </c>
      <c r="F22" s="26"/>
      <c r="G22" s="93">
        <v>0.06</v>
      </c>
      <c r="H22" s="8" t="s">
        <v>88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2"/>
      <c r="B24" s="123"/>
      <c r="C24" s="123"/>
      <c r="D24" s="127"/>
      <c r="E24" s="125" t="s">
        <v>89</v>
      </c>
      <c r="F24" s="126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customFormat="1">
      <c r="F25" s="26"/>
    </row>
    <row r="26" spans="1:23">
      <c r="A26" s="11"/>
      <c r="B26" s="11"/>
      <c r="C26" s="11"/>
      <c r="D26" s="12"/>
      <c r="E26" s="5" t="s">
        <v>90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8"/>
      <c r="B27" s="98"/>
      <c r="C27" s="98"/>
      <c r="D27" s="12" t="s">
        <v>91</v>
      </c>
      <c r="E27" s="13" t="s">
        <v>92</v>
      </c>
      <c r="F27" s="24" t="s">
        <v>93</v>
      </c>
      <c r="K27" s="87">
        <v>166.77799999999999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94</v>
      </c>
    </row>
    <row r="28" spans="1:23" s="11" customFormat="1">
      <c r="A28" s="98"/>
      <c r="B28" s="98"/>
      <c r="C28" s="98"/>
      <c r="D28" s="12" t="s">
        <v>91</v>
      </c>
      <c r="E28" s="13" t="s">
        <v>95</v>
      </c>
      <c r="F28" s="24" t="s">
        <v>93</v>
      </c>
      <c r="K28" s="87">
        <v>291.608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96</v>
      </c>
    </row>
    <row r="29" spans="1:23">
      <c r="A29" s="98"/>
      <c r="B29" s="98"/>
      <c r="C29" s="98"/>
      <c r="D29" s="12"/>
      <c r="E29" s="11"/>
      <c r="G29" s="11"/>
      <c r="H29" s="11"/>
      <c r="I29" s="11"/>
      <c r="J29" s="11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8"/>
      <c r="W29" s="11"/>
    </row>
    <row r="30" spans="1:23">
      <c r="A30" s="98"/>
      <c r="B30" s="98"/>
      <c r="C30" s="98"/>
      <c r="D30" s="12"/>
      <c r="E30" s="5" t="s">
        <v>97</v>
      </c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>
      <c r="A31" s="98"/>
      <c r="B31" s="98"/>
      <c r="C31" s="98"/>
      <c r="D31" s="12" t="s">
        <v>98</v>
      </c>
      <c r="E31" s="13" t="s">
        <v>99</v>
      </c>
      <c r="G31" s="11"/>
      <c r="H31" s="11"/>
      <c r="I31" s="11"/>
      <c r="J31" s="11"/>
      <c r="K31" s="20"/>
      <c r="L31" s="21">
        <v>0</v>
      </c>
      <c r="M31" s="21">
        <v>0.88</v>
      </c>
      <c r="N31" s="21">
        <v>0.38</v>
      </c>
      <c r="O31" s="21">
        <v>0.16</v>
      </c>
      <c r="P31" s="21">
        <v>0.03</v>
      </c>
      <c r="Q31" s="20"/>
      <c r="R31" s="20"/>
      <c r="S31" s="20"/>
      <c r="T31" s="20"/>
      <c r="U31" s="20"/>
      <c r="V31" s="8" t="s">
        <v>100</v>
      </c>
      <c r="W31" s="11"/>
    </row>
    <row r="32" spans="1:23">
      <c r="A32" s="98"/>
      <c r="B32" s="98"/>
      <c r="C32" s="98"/>
      <c r="D32" s="12" t="s">
        <v>98</v>
      </c>
      <c r="E32" s="13" t="s">
        <v>101</v>
      </c>
      <c r="G32" s="11"/>
      <c r="H32" s="11"/>
      <c r="I32" s="11"/>
      <c r="J32" s="11"/>
      <c r="K32" s="20"/>
      <c r="L32" s="21">
        <v>0</v>
      </c>
      <c r="M32" s="21">
        <v>0.87</v>
      </c>
      <c r="N32" s="21">
        <v>0.37</v>
      </c>
      <c r="O32" s="21">
        <v>0.1</v>
      </c>
      <c r="P32" s="21">
        <v>0.05</v>
      </c>
      <c r="Q32" s="20"/>
      <c r="R32" s="20"/>
      <c r="S32" s="20"/>
      <c r="T32" s="20"/>
      <c r="U32" s="20"/>
      <c r="V32" s="8" t="s">
        <v>102</v>
      </c>
      <c r="W32" s="11"/>
    </row>
    <row r="33" spans="1:23">
      <c r="A33" s="98"/>
      <c r="B33" s="98"/>
      <c r="C33" s="98"/>
      <c r="D33" s="12"/>
      <c r="E33" s="11"/>
      <c r="G33" s="11"/>
      <c r="H33" s="11"/>
      <c r="I33" s="11"/>
      <c r="J33" s="11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8"/>
      <c r="W33" s="11"/>
    </row>
    <row r="34" spans="1:23">
      <c r="A34" s="98"/>
      <c r="B34" s="98"/>
      <c r="C34" s="98"/>
      <c r="D34" s="12"/>
      <c r="E34" s="5" t="s">
        <v>103</v>
      </c>
      <c r="G34" s="11"/>
      <c r="H34" s="11"/>
      <c r="I34" s="11"/>
      <c r="J34" s="11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8"/>
      <c r="W34" s="11"/>
    </row>
    <row r="35" spans="1:23">
      <c r="A35" s="98"/>
      <c r="B35" s="98"/>
      <c r="C35" s="98"/>
      <c r="D35" s="12"/>
      <c r="E35" s="15" t="s">
        <v>104</v>
      </c>
      <c r="G35" s="11"/>
      <c r="H35" s="11"/>
      <c r="I35" s="11"/>
      <c r="J35" s="11"/>
      <c r="K35" s="20"/>
      <c r="L35" s="11"/>
      <c r="M35" s="11"/>
      <c r="N35" s="11"/>
      <c r="O35" s="11"/>
      <c r="P35" s="11"/>
      <c r="Q35" s="20"/>
      <c r="R35" s="20"/>
      <c r="S35" s="20"/>
      <c r="T35" s="20"/>
      <c r="U35" s="20"/>
      <c r="V35" s="8"/>
      <c r="W35" s="11"/>
    </row>
    <row r="36" spans="1:23">
      <c r="A36" s="98"/>
      <c r="B36" s="98"/>
      <c r="C36" s="98"/>
      <c r="D36" s="12" t="s">
        <v>91</v>
      </c>
      <c r="E36" s="18" t="s">
        <v>105</v>
      </c>
      <c r="F36" s="24" t="s">
        <v>106</v>
      </c>
      <c r="G36" s="11"/>
      <c r="H36" s="11"/>
      <c r="I36" s="11"/>
      <c r="J36" s="11"/>
      <c r="K36" s="20"/>
      <c r="L36" s="87">
        <v>172.76525626</v>
      </c>
      <c r="M36" s="87">
        <v>173.72263093999999</v>
      </c>
      <c r="N36" s="87">
        <v>181.76425479</v>
      </c>
      <c r="O36" s="87">
        <v>183.57900000000001</v>
      </c>
      <c r="P36" s="87">
        <v>183.49638493742123</v>
      </c>
      <c r="Q36" s="20"/>
      <c r="R36" s="20"/>
      <c r="S36" s="20"/>
      <c r="T36" s="20"/>
      <c r="U36" s="20"/>
      <c r="V36" s="8" t="s">
        <v>107</v>
      </c>
      <c r="W36" s="11"/>
    </row>
    <row r="37" spans="1:23">
      <c r="A37" s="98"/>
      <c r="B37" s="98"/>
      <c r="C37" s="98"/>
      <c r="D37" s="12" t="s">
        <v>91</v>
      </c>
      <c r="E37" s="18" t="s">
        <v>108</v>
      </c>
      <c r="F37" s="24" t="s">
        <v>106</v>
      </c>
      <c r="G37" s="11"/>
      <c r="H37" s="11"/>
      <c r="I37" s="11"/>
      <c r="J37" s="11"/>
      <c r="K37" s="20"/>
      <c r="L37" s="88">
        <f>'[1]WWS13 June 25th'!I36</f>
        <v>302.5</v>
      </c>
      <c r="M37" s="88">
        <f>'[1]WWS13 June 25th'!J36</f>
        <v>306.97499999999997</v>
      </c>
      <c r="N37" s="88">
        <f>'[1]WWS13 June 25th'!K36</f>
        <v>315.90000000000003</v>
      </c>
      <c r="O37" s="88">
        <f>'[1]WWS13 June 25th'!L36</f>
        <v>318.81200000000001</v>
      </c>
      <c r="P37" s="88">
        <v>320.49299999999999</v>
      </c>
      <c r="Q37" s="20"/>
      <c r="R37" s="20"/>
      <c r="S37" s="20"/>
      <c r="T37" s="20"/>
      <c r="U37" s="20"/>
      <c r="V37" s="8" t="s">
        <v>109</v>
      </c>
      <c r="W37" s="11"/>
    </row>
    <row r="38" spans="1:23">
      <c r="A38" s="98"/>
      <c r="B38" s="98"/>
      <c r="C38" s="98"/>
      <c r="D38" s="11"/>
      <c r="E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8"/>
      <c r="W38" s="11"/>
    </row>
    <row r="39" spans="1:23" s="4" customFormat="1" ht="13.9">
      <c r="A39" s="92"/>
      <c r="B39" s="123"/>
      <c r="C39" s="123"/>
      <c r="D39" s="127"/>
      <c r="E39" s="125" t="s">
        <v>110</v>
      </c>
      <c r="F39" s="126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</row>
    <row r="40" spans="1:23" customFormat="1">
      <c r="A40" s="99"/>
      <c r="B40" s="99"/>
      <c r="C40" s="99"/>
      <c r="F40" s="26"/>
    </row>
    <row r="41" spans="1:23">
      <c r="A41" s="98"/>
      <c r="B41" s="98"/>
      <c r="C41" s="98"/>
      <c r="D41" s="12"/>
      <c r="E41" s="5" t="s">
        <v>111</v>
      </c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90"/>
      <c r="R41" s="20"/>
      <c r="S41" s="20"/>
      <c r="T41" s="20"/>
      <c r="U41" s="20"/>
      <c r="V41" s="8"/>
      <c r="W41" s="11"/>
    </row>
    <row r="42" spans="1:23" s="11" customFormat="1">
      <c r="A42" s="98"/>
      <c r="B42" s="98"/>
      <c r="C42" s="98"/>
      <c r="D42" s="12" t="s">
        <v>91</v>
      </c>
      <c r="E42" s="13" t="s">
        <v>112</v>
      </c>
      <c r="F42" s="24" t="s">
        <v>113</v>
      </c>
      <c r="K42" s="87">
        <f>[2]WS13!$H$24</f>
        <v>-3.5118934567193199</v>
      </c>
      <c r="L42" s="8" t="s">
        <v>114</v>
      </c>
      <c r="M42" s="8"/>
      <c r="N42" s="8"/>
      <c r="O42" s="8"/>
      <c r="P42" s="8"/>
      <c r="Q42" s="8"/>
      <c r="R42" s="20"/>
      <c r="S42" s="20"/>
      <c r="T42" s="20"/>
      <c r="U42" s="20"/>
      <c r="V42" s="8"/>
    </row>
    <row r="43" spans="1:23" s="11" customFormat="1">
      <c r="A43" s="98"/>
      <c r="B43" s="98"/>
      <c r="C43" s="98"/>
      <c r="D43" s="12" t="s">
        <v>91</v>
      </c>
      <c r="E43" s="13" t="s">
        <v>115</v>
      </c>
      <c r="F43" s="24" t="s">
        <v>113</v>
      </c>
      <c r="K43" s="88">
        <f>'[1]WWS13 June 25th'!$H$24</f>
        <v>-6.7963260966498096</v>
      </c>
      <c r="L43" s="8" t="s">
        <v>116</v>
      </c>
      <c r="M43" s="8"/>
      <c r="N43" s="8"/>
      <c r="O43" s="8"/>
      <c r="P43" s="8"/>
      <c r="Q43" s="8"/>
      <c r="R43" s="20"/>
      <c r="S43" s="20"/>
      <c r="T43" s="20"/>
      <c r="U43" s="20"/>
      <c r="V43" s="8"/>
    </row>
    <row r="44" spans="1:23">
      <c r="A44" s="98"/>
      <c r="B44" s="98"/>
      <c r="C44" s="98"/>
      <c r="D44" s="97" t="s">
        <v>117</v>
      </c>
      <c r="E44" s="13" t="s">
        <v>118</v>
      </c>
      <c r="F44" s="24" t="s">
        <v>119</v>
      </c>
      <c r="G44" s="8"/>
      <c r="H44" s="8"/>
      <c r="I44" s="11"/>
      <c r="J44" s="11"/>
      <c r="K44" s="20"/>
      <c r="L44" s="20"/>
      <c r="M44" s="20"/>
      <c r="N44" s="89">
        <v>0</v>
      </c>
      <c r="O44" s="89">
        <v>0</v>
      </c>
      <c r="P44" s="89">
        <v>0</v>
      </c>
      <c r="Q44" s="94">
        <f>SUM(N44:P44)</f>
        <v>0</v>
      </c>
      <c r="R44" s="20"/>
      <c r="S44" s="20"/>
      <c r="T44" s="20"/>
      <c r="U44" s="20"/>
      <c r="V44" s="8"/>
      <c r="W44" s="11"/>
    </row>
    <row r="45" spans="1:23">
      <c r="A45" s="98"/>
      <c r="B45" s="98"/>
      <c r="C45" s="98"/>
      <c r="D45" s="97" t="s">
        <v>117</v>
      </c>
      <c r="E45" s="13" t="s">
        <v>120</v>
      </c>
      <c r="F45" s="24" t="s">
        <v>119</v>
      </c>
      <c r="G45" s="8"/>
      <c r="H45" s="8"/>
      <c r="I45" s="11"/>
      <c r="J45" s="11"/>
      <c r="K45" s="20"/>
      <c r="L45" s="20"/>
      <c r="M45" s="20"/>
      <c r="N45" s="89">
        <v>0</v>
      </c>
      <c r="O45" s="89">
        <v>0</v>
      </c>
      <c r="P45" s="89">
        <v>0</v>
      </c>
      <c r="Q45" s="94">
        <f>SUM(N45:P45)</f>
        <v>0</v>
      </c>
      <c r="R45" s="20"/>
      <c r="S45" s="20"/>
      <c r="T45" s="20"/>
      <c r="U45" s="20"/>
      <c r="V45" s="8"/>
      <c r="W45" s="11"/>
    </row>
    <row r="46" spans="1:23">
      <c r="A46" s="98"/>
      <c r="B46" s="98"/>
      <c r="C46" s="98"/>
      <c r="D46" s="12"/>
      <c r="E46" s="13"/>
      <c r="G46" s="8"/>
      <c r="H46" s="8"/>
      <c r="I46" s="11"/>
      <c r="J46" s="1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8"/>
      <c r="W46" s="11"/>
    </row>
    <row r="47" spans="1:23" s="4" customFormat="1" ht="13.9">
      <c r="A47" s="92"/>
      <c r="B47" s="123"/>
      <c r="C47" s="123"/>
      <c r="D47" s="127"/>
      <c r="E47" s="125" t="s">
        <v>121</v>
      </c>
      <c r="F47" s="126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</row>
    <row r="48" spans="1:23">
      <c r="A48" s="98"/>
      <c r="B48" s="98"/>
      <c r="C48" s="98"/>
      <c r="D48" s="12"/>
      <c r="E48" s="13"/>
      <c r="G48" s="8"/>
      <c r="H48" s="8"/>
      <c r="I48" s="11"/>
      <c r="J48" s="11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8"/>
      <c r="W48" s="11"/>
    </row>
    <row r="49" spans="1:23">
      <c r="A49" s="98"/>
      <c r="B49" s="98"/>
      <c r="C49" s="98"/>
      <c r="D49" s="12"/>
      <c r="E49" s="15" t="s">
        <v>122</v>
      </c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>
      <c r="A50" s="98"/>
      <c r="B50" s="98"/>
      <c r="C50" s="98"/>
      <c r="D50" s="12" t="s">
        <v>91</v>
      </c>
      <c r="E50" s="18" t="s">
        <v>123</v>
      </c>
      <c r="F50" s="24" t="s">
        <v>106</v>
      </c>
      <c r="G50" s="8"/>
      <c r="H50" s="8"/>
      <c r="I50" s="11"/>
      <c r="J50" s="11"/>
      <c r="K50" s="20"/>
      <c r="L50" s="20"/>
      <c r="M50" s="20"/>
      <c r="N50" s="20"/>
      <c r="O50" s="88">
        <v>0</v>
      </c>
      <c r="P50" s="20"/>
      <c r="Q50" s="20"/>
      <c r="R50" s="20"/>
      <c r="S50" s="20"/>
      <c r="T50" s="20"/>
      <c r="U50" s="20"/>
      <c r="V50" s="8"/>
      <c r="W50" s="11"/>
    </row>
    <row r="51" spans="1:23">
      <c r="A51" s="98"/>
      <c r="B51" s="98"/>
      <c r="C51" s="98"/>
      <c r="D51" s="12" t="s">
        <v>91</v>
      </c>
      <c r="E51" s="18" t="s">
        <v>124</v>
      </c>
      <c r="F51" s="24" t="s">
        <v>106</v>
      </c>
      <c r="G51" s="8"/>
      <c r="H51" s="8"/>
      <c r="I51" s="11"/>
      <c r="J51" s="11"/>
      <c r="K51" s="20"/>
      <c r="L51" s="20"/>
      <c r="M51" s="20"/>
      <c r="N51" s="20"/>
      <c r="O51" s="88">
        <v>0</v>
      </c>
      <c r="P51" s="20"/>
      <c r="Q51" s="20"/>
      <c r="R51" s="20"/>
      <c r="S51" s="20"/>
      <c r="T51" s="20"/>
      <c r="U51" s="20"/>
      <c r="V51" s="8"/>
      <c r="W51" s="11"/>
    </row>
    <row r="52" spans="1:23">
      <c r="A52" s="98"/>
      <c r="B52" s="98"/>
      <c r="C52" s="98"/>
      <c r="D52" s="12"/>
      <c r="E52" s="13"/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8"/>
      <c r="B53" s="98"/>
      <c r="C53" s="98"/>
      <c r="D53" s="12" t="s">
        <v>91</v>
      </c>
      <c r="E53" s="18" t="s">
        <v>125</v>
      </c>
      <c r="F53" s="24" t="s">
        <v>106</v>
      </c>
      <c r="G53" s="8"/>
      <c r="H53" s="8"/>
      <c r="I53" s="11"/>
      <c r="J53" s="11"/>
      <c r="K53" s="20"/>
      <c r="L53" s="20"/>
      <c r="M53" s="20"/>
      <c r="N53" s="20"/>
      <c r="O53" s="20"/>
      <c r="P53" s="88">
        <f>'WRFIM - Water'!O43</f>
        <v>-1.0324391901159515</v>
      </c>
      <c r="Q53" s="20"/>
      <c r="R53" s="20"/>
      <c r="S53" s="20"/>
      <c r="T53" s="20"/>
      <c r="U53" s="20"/>
      <c r="V53" s="8"/>
      <c r="W53" s="11"/>
    </row>
    <row r="54" spans="1:23">
      <c r="A54" s="98"/>
      <c r="B54" s="98"/>
      <c r="C54" s="98"/>
      <c r="D54" s="12" t="s">
        <v>91</v>
      </c>
      <c r="E54" s="18" t="s">
        <v>126</v>
      </c>
      <c r="F54" s="24" t="s">
        <v>106</v>
      </c>
      <c r="G54" s="8"/>
      <c r="H54" s="8"/>
      <c r="I54" s="11"/>
      <c r="J54" s="11"/>
      <c r="K54" s="20"/>
      <c r="L54" s="20"/>
      <c r="M54" s="20"/>
      <c r="N54" s="20"/>
      <c r="O54" s="20"/>
      <c r="P54" s="88">
        <f>'WRFIM - Waste'!O43</f>
        <v>-1.980509553908405E-2</v>
      </c>
      <c r="Q54" s="20"/>
      <c r="R54" s="20"/>
      <c r="S54" s="20"/>
      <c r="T54" s="20"/>
      <c r="U54" s="20"/>
      <c r="V54" s="8"/>
      <c r="W54" s="11"/>
    </row>
    <row r="55" spans="1:23" ht="13.9" thickBot="1">
      <c r="A55" s="98"/>
      <c r="B55" s="98"/>
      <c r="C55" s="98"/>
      <c r="D55" s="12"/>
      <c r="E55" s="13"/>
      <c r="G55" s="8"/>
      <c r="H55" s="8"/>
      <c r="I55" s="11"/>
      <c r="J55" s="11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8"/>
      <c r="W55" s="11"/>
    </row>
    <row r="56" spans="1:23" ht="13.9" thickBot="1">
      <c r="A56" s="6" t="s">
        <v>127</v>
      </c>
      <c r="B56" s="7"/>
      <c r="C56" s="7"/>
      <c r="D56" s="7"/>
      <c r="E56" s="7"/>
      <c r="F56" s="2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>
      <c r="A57" s="11"/>
      <c r="B57" s="11"/>
      <c r="C57" s="11"/>
      <c r="D57" s="11"/>
      <c r="E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idden="1">
      <c r="A58" s="11"/>
      <c r="B58" s="11"/>
      <c r="C58" s="11"/>
      <c r="D58" s="11"/>
      <c r="E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idden="1">
      <c r="A59" s="11"/>
      <c r="B59" s="11"/>
      <c r="C59" s="11"/>
      <c r="D59" s="11"/>
      <c r="E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idden="1">
      <c r="A60" s="11"/>
      <c r="B60" s="11"/>
      <c r="C60" s="11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idden="1">
      <c r="A61" s="11"/>
      <c r="B61" s="11"/>
      <c r="C61" s="11"/>
      <c r="D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idden="1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/>
    <row r="66"/>
    <row r="67"/>
    <row r="68"/>
    <row r="69"/>
    <row r="70"/>
    <row r="71"/>
    <row r="72"/>
    <row r="73"/>
    <row r="74"/>
    <row r="75"/>
    <row r="76"/>
  </sheetData>
  <dataValidations disablePrompts="1" count="2">
    <dataValidation type="list" allowBlank="1" showInputMessage="1" showErrorMessage="1" sqref="G11" xr:uid="{00000000-0002-0000-0200-000000000000}">
      <formula1>"WaSC,WOC"</formula1>
    </dataValidation>
    <dataValidation type="list" allowBlank="1" showInputMessage="1" showErrorMessage="1" sqref="G12" xr:uid="{00000000-0002-0000-0200-000001000000}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Z65"/>
  <sheetViews>
    <sheetView showGridLines="0" zoomScale="80" zoomScaleNormal="80" workbookViewId="0" xr3:uid="{51F8DEE0-4D01-5F28-A812-FC0BD7CAC4A5}">
      <pane xSplit="5" ySplit="5" topLeftCell="F9" activePane="bottomRight" state="frozen"/>
      <selection pane="bottomRight" activeCell="F55" sqref="F55"/>
      <selection pane="bottomLeft" activeCell="A20" sqref="A20"/>
      <selection pane="topRight" activeCell="A20" sqref="A20"/>
    </sheetView>
  </sheetViews>
  <sheetFormatPr defaultColWidth="0" defaultRowHeight="0" customHeight="1" zeroHeight="1"/>
  <cols>
    <col min="1" max="3" width="4.7109375" style="27" customWidth="1"/>
    <col min="4" max="4" width="11.7109375" style="27" customWidth="1"/>
    <col min="5" max="5" width="53.140625" style="27" customWidth="1"/>
    <col min="6" max="7" width="2.7109375" style="27" customWidth="1"/>
    <col min="8" max="21" width="11" style="27" customWidth="1"/>
    <col min="22" max="22" width="35.28515625" style="28" customWidth="1"/>
    <col min="23" max="26" width="8.85546875" style="27" hidden="1" customWidth="1"/>
    <col min="27" max="259" width="0" style="27" hidden="1" customWidth="1"/>
    <col min="260" max="16384" width="0" style="27" hidden="1"/>
  </cols>
  <sheetData>
    <row r="1" spans="1:24" s="32" customFormat="1" ht="33">
      <c r="A1" s="128"/>
      <c r="B1" s="128"/>
      <c r="C1" s="129"/>
      <c r="D1" s="130" t="s">
        <v>128</v>
      </c>
      <c r="E1" s="130"/>
      <c r="F1" s="130"/>
      <c r="G1" s="130"/>
      <c r="H1" s="130"/>
      <c r="I1" s="131"/>
      <c r="J1" s="131"/>
      <c r="K1" s="73"/>
      <c r="L1" s="73"/>
      <c r="M1" s="131"/>
      <c r="N1" s="131"/>
      <c r="O1" s="131"/>
      <c r="P1" s="131"/>
      <c r="Q1" s="131"/>
      <c r="R1" s="131"/>
      <c r="S1" s="131"/>
      <c r="T1" s="131"/>
      <c r="U1" s="72"/>
      <c r="V1" s="132"/>
      <c r="W1" s="70"/>
      <c r="X1" s="69"/>
    </row>
    <row r="2" spans="1:24" s="32" customFormat="1" ht="13.15">
      <c r="C2" s="45"/>
      <c r="E2" s="45"/>
      <c r="F2" s="45"/>
      <c r="G2" s="45"/>
      <c r="H2" s="71"/>
      <c r="I2" s="49"/>
      <c r="J2" s="49"/>
      <c r="K2" s="49"/>
      <c r="L2" s="49"/>
      <c r="M2" s="49"/>
      <c r="S2" s="27"/>
      <c r="T2" s="27"/>
      <c r="U2" s="27"/>
      <c r="V2" s="27"/>
      <c r="W2" s="70"/>
      <c r="X2" s="69"/>
    </row>
    <row r="3" spans="1:24" s="66" customFormat="1" ht="13.9">
      <c r="A3" s="60"/>
      <c r="B3" s="60"/>
      <c r="C3" s="63"/>
      <c r="D3" s="60"/>
      <c r="E3" s="68" t="s">
        <v>65</v>
      </c>
      <c r="F3" s="68"/>
      <c r="G3" s="68"/>
      <c r="H3" s="133" t="s">
        <v>129</v>
      </c>
      <c r="I3" s="133" t="str">
        <f t="shared" ref="I3:U3" si="0">AMP.Years</f>
        <v>2012-13</v>
      </c>
      <c r="J3" s="133" t="str">
        <f t="shared" si="0"/>
        <v>2013-14</v>
      </c>
      <c r="K3" s="133" t="str">
        <f t="shared" si="0"/>
        <v>2014-15</v>
      </c>
      <c r="L3" s="134" t="str">
        <f t="shared" si="0"/>
        <v>2015-16</v>
      </c>
      <c r="M3" s="134" t="str">
        <f t="shared" si="0"/>
        <v>2016-17</v>
      </c>
      <c r="N3" s="134" t="str">
        <f t="shared" si="0"/>
        <v>2017-18</v>
      </c>
      <c r="O3" s="134" t="str">
        <f t="shared" si="0"/>
        <v>2018-19</v>
      </c>
      <c r="P3" s="134" t="str">
        <f t="shared" si="0"/>
        <v>2019-20</v>
      </c>
      <c r="Q3" s="133" t="str">
        <f t="shared" si="0"/>
        <v>2020-21</v>
      </c>
      <c r="R3" s="133" t="str">
        <f t="shared" si="0"/>
        <v>2021-22</v>
      </c>
      <c r="S3" s="133" t="str">
        <f t="shared" si="0"/>
        <v>2022-23</v>
      </c>
      <c r="T3" s="133" t="str">
        <f t="shared" si="0"/>
        <v>2023-24</v>
      </c>
      <c r="U3" s="133" t="str">
        <f t="shared" si="0"/>
        <v>2024-25</v>
      </c>
      <c r="V3" s="67"/>
    </row>
    <row r="4" spans="1:24" s="64" customFormat="1" ht="18" customHeight="1">
      <c r="A4" s="32"/>
      <c r="B4" s="32"/>
      <c r="C4" s="45"/>
      <c r="D4" s="32"/>
      <c r="E4" s="50"/>
      <c r="F4" s="50"/>
      <c r="G4" s="5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5"/>
    </row>
    <row r="5" spans="1:24" s="60" customFormat="1" ht="13.15">
      <c r="C5" s="63"/>
      <c r="E5" s="60" t="s">
        <v>130</v>
      </c>
      <c r="H5" s="62">
        <v>2011</v>
      </c>
      <c r="I5" s="62">
        <f t="shared" ref="I5:U5" si="1">Calendar.Years</f>
        <v>2012</v>
      </c>
      <c r="J5" s="62">
        <f t="shared" si="1"/>
        <v>2013</v>
      </c>
      <c r="K5" s="62">
        <f t="shared" si="1"/>
        <v>2014</v>
      </c>
      <c r="L5" s="62">
        <f t="shared" si="1"/>
        <v>2015</v>
      </c>
      <c r="M5" s="62">
        <f t="shared" si="1"/>
        <v>2016</v>
      </c>
      <c r="N5" s="62">
        <f t="shared" si="1"/>
        <v>2017</v>
      </c>
      <c r="O5" s="62">
        <f t="shared" si="1"/>
        <v>2018</v>
      </c>
      <c r="P5" s="62">
        <f t="shared" si="1"/>
        <v>2019</v>
      </c>
      <c r="Q5" s="62">
        <f t="shared" si="1"/>
        <v>2020</v>
      </c>
      <c r="R5" s="62">
        <f t="shared" si="1"/>
        <v>2021</v>
      </c>
      <c r="S5" s="62">
        <f t="shared" si="1"/>
        <v>2022</v>
      </c>
      <c r="T5" s="62">
        <f t="shared" si="1"/>
        <v>2023</v>
      </c>
      <c r="U5" s="62">
        <f t="shared" si="1"/>
        <v>2024</v>
      </c>
      <c r="V5" s="61"/>
    </row>
    <row r="6" spans="1:24" s="32" customFormat="1" ht="13.15">
      <c r="C6" s="45"/>
      <c r="E6" s="59" t="s">
        <v>67</v>
      </c>
      <c r="H6" s="58">
        <v>-3</v>
      </c>
      <c r="I6" s="58">
        <v>-2</v>
      </c>
      <c r="J6" s="58">
        <v>-1</v>
      </c>
      <c r="K6" s="58">
        <v>0</v>
      </c>
      <c r="L6" s="58">
        <v>1</v>
      </c>
      <c r="M6" s="58">
        <v>2</v>
      </c>
      <c r="N6" s="58">
        <v>3</v>
      </c>
      <c r="O6" s="58">
        <v>4</v>
      </c>
      <c r="P6" s="58">
        <v>5</v>
      </c>
      <c r="Q6" s="58">
        <v>6</v>
      </c>
      <c r="R6" s="58">
        <v>7</v>
      </c>
      <c r="S6" s="58">
        <v>8</v>
      </c>
      <c r="T6" s="58">
        <v>9</v>
      </c>
      <c r="U6" s="58">
        <v>10</v>
      </c>
      <c r="V6" s="33"/>
    </row>
    <row r="7" spans="1:24" s="32" customFormat="1" ht="12.75" customHeight="1">
      <c r="C7" s="45"/>
      <c r="F7" s="50"/>
      <c r="G7" s="50"/>
      <c r="I7" s="49" t="s">
        <v>131</v>
      </c>
      <c r="J7" s="49" t="s">
        <v>131</v>
      </c>
      <c r="K7" s="49" t="s">
        <v>131</v>
      </c>
      <c r="L7" s="49" t="s">
        <v>131</v>
      </c>
      <c r="M7" s="49" t="s">
        <v>131</v>
      </c>
      <c r="N7" s="49" t="s">
        <v>131</v>
      </c>
      <c r="O7" s="49" t="s">
        <v>131</v>
      </c>
      <c r="P7" s="49" t="s">
        <v>131</v>
      </c>
      <c r="Q7" s="49" t="s">
        <v>131</v>
      </c>
      <c r="R7" s="49" t="s">
        <v>131</v>
      </c>
      <c r="S7" s="49" t="s">
        <v>131</v>
      </c>
      <c r="T7" s="49" t="s">
        <v>131</v>
      </c>
      <c r="U7" s="49" t="s">
        <v>131</v>
      </c>
      <c r="V7" s="33"/>
    </row>
    <row r="8" spans="1:24" s="32" customFormat="1" ht="12.75" customHeight="1">
      <c r="A8" s="57"/>
      <c r="B8" s="135"/>
      <c r="C8" s="135"/>
      <c r="D8" s="136"/>
      <c r="E8" s="137" t="s">
        <v>46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132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3.15">
      <c r="B11" s="47">
        <v>1</v>
      </c>
      <c r="C11" s="45"/>
      <c r="D11" s="32" t="s">
        <v>133</v>
      </c>
      <c r="E11" s="36" t="s">
        <v>134</v>
      </c>
      <c r="F11" s="36"/>
      <c r="G11" s="36"/>
      <c r="I11" s="56">
        <v>242.5</v>
      </c>
      <c r="J11" s="56">
        <v>249.5</v>
      </c>
      <c r="K11" s="56">
        <v>255.7</v>
      </c>
      <c r="L11" s="56">
        <v>258</v>
      </c>
      <c r="M11" s="56">
        <v>261.39999999999998</v>
      </c>
      <c r="N11" s="56">
        <v>270.60000000000002</v>
      </c>
      <c r="O11" s="56">
        <v>279.7</v>
      </c>
      <c r="P11" s="56">
        <v>288.09100000000001</v>
      </c>
      <c r="Q11" s="56">
        <v>296.73373000000004</v>
      </c>
      <c r="R11" s="56">
        <v>305.63574190000003</v>
      </c>
      <c r="S11" s="56">
        <v>314.80481415700001</v>
      </c>
      <c r="T11" s="56">
        <v>324.24895858171004</v>
      </c>
      <c r="U11" s="56">
        <v>333.97642733916138</v>
      </c>
      <c r="V11" s="33"/>
    </row>
    <row r="12" spans="1:24" s="32" customFormat="1" ht="13.15">
      <c r="B12" s="47">
        <v>2</v>
      </c>
      <c r="C12" s="45"/>
      <c r="D12" s="32" t="s">
        <v>133</v>
      </c>
      <c r="E12" s="36" t="s">
        <v>135</v>
      </c>
      <c r="F12" s="36"/>
      <c r="G12" s="36"/>
      <c r="I12" s="56">
        <v>242.4</v>
      </c>
      <c r="J12" s="56">
        <v>250</v>
      </c>
      <c r="K12" s="56">
        <v>255.9</v>
      </c>
      <c r="L12" s="56">
        <v>258.5</v>
      </c>
      <c r="M12" s="56">
        <v>262.10000000000002</v>
      </c>
      <c r="N12" s="56">
        <v>271.7</v>
      </c>
      <c r="O12" s="56">
        <v>280.7</v>
      </c>
      <c r="P12" s="56">
        <v>289.12099999999998</v>
      </c>
      <c r="Q12" s="56">
        <v>297.79462999999998</v>
      </c>
      <c r="R12" s="56">
        <v>306.7284689</v>
      </c>
      <c r="S12" s="56">
        <v>315.930322967</v>
      </c>
      <c r="T12" s="56">
        <v>325.40823265601</v>
      </c>
      <c r="U12" s="56">
        <v>335.1704796356903</v>
      </c>
      <c r="V12" s="33"/>
    </row>
    <row r="13" spans="1:24" s="32" customFormat="1" ht="13.15">
      <c r="B13" s="47">
        <v>3</v>
      </c>
      <c r="C13" s="45"/>
      <c r="D13" s="32" t="s">
        <v>133</v>
      </c>
      <c r="E13" s="36" t="s">
        <v>136</v>
      </c>
      <c r="F13" s="36"/>
      <c r="G13" s="36"/>
      <c r="I13" s="56">
        <v>241.8</v>
      </c>
      <c r="J13" s="56">
        <v>249.7</v>
      </c>
      <c r="K13" s="56">
        <v>256.3</v>
      </c>
      <c r="L13" s="56">
        <v>258.89999999999998</v>
      </c>
      <c r="M13" s="56">
        <v>263.10000000000002</v>
      </c>
      <c r="N13" s="56">
        <v>272.3</v>
      </c>
      <c r="O13" s="56">
        <v>281.5</v>
      </c>
      <c r="P13" s="56">
        <v>289.94499999999999</v>
      </c>
      <c r="Q13" s="56">
        <v>298.64335</v>
      </c>
      <c r="R13" s="56">
        <v>307.60265049999998</v>
      </c>
      <c r="S13" s="56">
        <v>316.83073001499997</v>
      </c>
      <c r="T13" s="56">
        <v>326.33565191545</v>
      </c>
      <c r="U13" s="56">
        <v>336.12572147291348</v>
      </c>
      <c r="V13" s="33"/>
    </row>
    <row r="14" spans="1:24" s="32" customFormat="1" ht="13.15">
      <c r="B14" s="47">
        <v>4</v>
      </c>
      <c r="C14" s="45"/>
      <c r="D14" s="32" t="s">
        <v>133</v>
      </c>
      <c r="E14" s="36" t="s">
        <v>137</v>
      </c>
      <c r="F14" s="36"/>
      <c r="G14" s="36"/>
      <c r="I14" s="56">
        <v>242.1</v>
      </c>
      <c r="J14" s="56">
        <v>249.7</v>
      </c>
      <c r="K14" s="56">
        <v>256</v>
      </c>
      <c r="L14" s="56">
        <v>258.60000000000002</v>
      </c>
      <c r="M14" s="56">
        <v>263.39999999999998</v>
      </c>
      <c r="N14" s="56">
        <v>272.89999999999998</v>
      </c>
      <c r="O14" s="56">
        <v>281.08699999999999</v>
      </c>
      <c r="P14" s="56">
        <v>289.51961</v>
      </c>
      <c r="Q14" s="56">
        <v>298.20519830000001</v>
      </c>
      <c r="R14" s="56">
        <v>307.15135424900001</v>
      </c>
      <c r="S14" s="56">
        <v>316.36589487647001</v>
      </c>
      <c r="T14" s="56">
        <v>325.85687172276414</v>
      </c>
      <c r="U14" s="56">
        <v>335.63257787444707</v>
      </c>
      <c r="V14" s="33"/>
    </row>
    <row r="15" spans="1:24" s="32" customFormat="1" ht="13.15">
      <c r="B15" s="47">
        <v>5</v>
      </c>
      <c r="C15" s="45"/>
      <c r="D15" s="32" t="s">
        <v>133</v>
      </c>
      <c r="E15" s="36" t="s">
        <v>138</v>
      </c>
      <c r="F15" s="36"/>
      <c r="G15" s="36"/>
      <c r="I15" s="56">
        <v>243</v>
      </c>
      <c r="J15" s="56">
        <v>251</v>
      </c>
      <c r="K15" s="56">
        <v>257</v>
      </c>
      <c r="L15" s="56">
        <v>259.8</v>
      </c>
      <c r="M15" s="56">
        <v>264.39999999999998</v>
      </c>
      <c r="N15" s="56">
        <v>274.7</v>
      </c>
      <c r="O15" s="56">
        <v>282.94099999999997</v>
      </c>
      <c r="P15" s="56">
        <v>291.42922999999996</v>
      </c>
      <c r="Q15" s="56">
        <v>300.17210689999996</v>
      </c>
      <c r="R15" s="56">
        <v>309.17727010699997</v>
      </c>
      <c r="S15" s="56">
        <v>318.45258821020997</v>
      </c>
      <c r="T15" s="56">
        <v>328.00616585651625</v>
      </c>
      <c r="U15" s="56">
        <v>337.84635083221173</v>
      </c>
      <c r="V15" s="33"/>
    </row>
    <row r="16" spans="1:24" s="32" customFormat="1" ht="13.15">
      <c r="B16" s="47">
        <v>6</v>
      </c>
      <c r="C16" s="45"/>
      <c r="D16" s="32" t="s">
        <v>133</v>
      </c>
      <c r="E16" s="36" t="s">
        <v>139</v>
      </c>
      <c r="F16" s="36"/>
      <c r="G16" s="36"/>
      <c r="I16" s="56">
        <v>244.2</v>
      </c>
      <c r="J16" s="56">
        <v>251.9</v>
      </c>
      <c r="K16" s="56">
        <v>257.60000000000002</v>
      </c>
      <c r="L16" s="56">
        <v>259.60000000000002</v>
      </c>
      <c r="M16" s="56">
        <v>264.89999999999998</v>
      </c>
      <c r="N16" s="56">
        <v>275.10000000000002</v>
      </c>
      <c r="O16" s="56">
        <v>283.35300000000001</v>
      </c>
      <c r="P16" s="56">
        <v>291.85359</v>
      </c>
      <c r="Q16" s="56">
        <v>300.60919769999998</v>
      </c>
      <c r="R16" s="56">
        <v>309.62747363099999</v>
      </c>
      <c r="S16" s="56">
        <v>318.91629783993</v>
      </c>
      <c r="T16" s="56">
        <v>328.4837867751279</v>
      </c>
      <c r="U16" s="56">
        <v>338.33830037838175</v>
      </c>
      <c r="V16" s="33"/>
    </row>
    <row r="17" spans="2:22" s="32" customFormat="1" ht="13.15">
      <c r="B17" s="47">
        <v>7</v>
      </c>
      <c r="C17" s="45"/>
      <c r="D17" s="32" t="s">
        <v>133</v>
      </c>
      <c r="E17" s="36" t="s">
        <v>140</v>
      </c>
      <c r="F17" s="36"/>
      <c r="G17" s="36"/>
      <c r="I17" s="56">
        <v>245.6</v>
      </c>
      <c r="J17" s="56">
        <v>251.9</v>
      </c>
      <c r="K17" s="56">
        <v>257.7</v>
      </c>
      <c r="L17" s="56">
        <v>259.5</v>
      </c>
      <c r="M17" s="56">
        <v>264.8</v>
      </c>
      <c r="N17" s="56">
        <v>275.3</v>
      </c>
      <c r="O17" s="56">
        <v>283.55900000000003</v>
      </c>
      <c r="P17" s="56">
        <v>292.06577000000004</v>
      </c>
      <c r="Q17" s="56">
        <v>300.82774310000008</v>
      </c>
      <c r="R17" s="56">
        <v>309.85257539300011</v>
      </c>
      <c r="S17" s="56">
        <v>319.14815265479012</v>
      </c>
      <c r="T17" s="56">
        <v>328.72259723443386</v>
      </c>
      <c r="U17" s="56">
        <v>338.5842751514669</v>
      </c>
      <c r="V17" s="33"/>
    </row>
    <row r="18" spans="2:22" s="32" customFormat="1" ht="13.15">
      <c r="B18" s="47">
        <v>8</v>
      </c>
      <c r="C18" s="45"/>
      <c r="D18" s="32" t="s">
        <v>133</v>
      </c>
      <c r="E18" s="36" t="s">
        <v>141</v>
      </c>
      <c r="F18" s="36"/>
      <c r="G18" s="36"/>
      <c r="H18" s="56">
        <v>238.5</v>
      </c>
      <c r="I18" s="56">
        <v>245.6</v>
      </c>
      <c r="J18" s="56">
        <v>252.1</v>
      </c>
      <c r="K18" s="56">
        <v>257.10000000000002</v>
      </c>
      <c r="L18" s="56">
        <v>259.8</v>
      </c>
      <c r="M18" s="56">
        <v>265.5</v>
      </c>
      <c r="N18" s="56">
        <v>275.8</v>
      </c>
      <c r="O18" s="56">
        <v>284.07400000000001</v>
      </c>
      <c r="P18" s="56">
        <v>292.59622000000002</v>
      </c>
      <c r="Q18" s="56">
        <v>301.3741066</v>
      </c>
      <c r="R18" s="56">
        <v>310.41532979800002</v>
      </c>
      <c r="S18" s="56">
        <v>319.72778969194002</v>
      </c>
      <c r="T18" s="56">
        <v>329.31962338269824</v>
      </c>
      <c r="U18" s="56">
        <v>339.19921208417918</v>
      </c>
      <c r="V18" s="33"/>
    </row>
    <row r="19" spans="2:22" s="32" customFormat="1" ht="13.15">
      <c r="B19" s="47">
        <v>9</v>
      </c>
      <c r="C19" s="45"/>
      <c r="D19" s="32" t="s">
        <v>133</v>
      </c>
      <c r="E19" s="36" t="s">
        <v>142</v>
      </c>
      <c r="F19" s="36"/>
      <c r="G19" s="36"/>
      <c r="I19" s="56">
        <v>246.8</v>
      </c>
      <c r="J19" s="56">
        <v>253.4</v>
      </c>
      <c r="K19" s="56">
        <v>257.5</v>
      </c>
      <c r="L19" s="56">
        <v>260.60000000000002</v>
      </c>
      <c r="M19" s="56">
        <v>267.10000000000002</v>
      </c>
      <c r="N19" s="56">
        <v>278.10000000000002</v>
      </c>
      <c r="O19" s="56">
        <v>286.44300000000004</v>
      </c>
      <c r="P19" s="56">
        <v>295.03629000000006</v>
      </c>
      <c r="Q19" s="56">
        <v>303.88737870000006</v>
      </c>
      <c r="R19" s="56">
        <v>313.00400006100006</v>
      </c>
      <c r="S19" s="56">
        <v>322.39412006283004</v>
      </c>
      <c r="T19" s="56">
        <v>332.06594366471495</v>
      </c>
      <c r="U19" s="56">
        <v>342.02792197465641</v>
      </c>
      <c r="V19" s="33"/>
    </row>
    <row r="20" spans="2:22" s="32" customFormat="1" ht="13.15">
      <c r="B20" s="47">
        <v>10</v>
      </c>
      <c r="C20" s="45"/>
      <c r="D20" s="32" t="s">
        <v>133</v>
      </c>
      <c r="E20" s="36" t="s">
        <v>143</v>
      </c>
      <c r="F20" s="36"/>
      <c r="G20" s="36"/>
      <c r="I20" s="56">
        <v>245.8</v>
      </c>
      <c r="J20" s="56">
        <v>252.6</v>
      </c>
      <c r="K20" s="56">
        <v>255.4</v>
      </c>
      <c r="L20" s="56">
        <v>258.8</v>
      </c>
      <c r="M20" s="56">
        <v>265.5</v>
      </c>
      <c r="N20" s="56">
        <v>276</v>
      </c>
      <c r="O20" s="56">
        <v>284.28000000000003</v>
      </c>
      <c r="P20" s="56">
        <v>292.80840000000006</v>
      </c>
      <c r="Q20" s="56">
        <v>301.5926520000001</v>
      </c>
      <c r="R20" s="56">
        <v>310.64043156000014</v>
      </c>
      <c r="S20" s="56">
        <v>319.95964450680015</v>
      </c>
      <c r="T20" s="56">
        <v>329.55843384200415</v>
      </c>
      <c r="U20" s="56">
        <v>339.44518685726428</v>
      </c>
      <c r="V20" s="33"/>
    </row>
    <row r="21" spans="2:22" s="32" customFormat="1" ht="13.15">
      <c r="B21" s="47">
        <v>11</v>
      </c>
      <c r="C21" s="45"/>
      <c r="D21" s="32" t="s">
        <v>133</v>
      </c>
      <c r="E21" s="36" t="s">
        <v>144</v>
      </c>
      <c r="F21" s="36"/>
      <c r="G21" s="36"/>
      <c r="I21" s="56">
        <v>247.6</v>
      </c>
      <c r="J21" s="56">
        <v>254.2</v>
      </c>
      <c r="K21" s="56">
        <v>256.7</v>
      </c>
      <c r="L21" s="56">
        <v>260</v>
      </c>
      <c r="M21" s="56">
        <v>268.39999999999998</v>
      </c>
      <c r="N21" s="56">
        <v>278.10000000000002</v>
      </c>
      <c r="O21" s="56">
        <v>286.44300000000004</v>
      </c>
      <c r="P21" s="56">
        <v>295.03629000000006</v>
      </c>
      <c r="Q21" s="56">
        <v>303.88737870000006</v>
      </c>
      <c r="R21" s="56">
        <v>313.00400006100006</v>
      </c>
      <c r="S21" s="56">
        <v>322.39412006283004</v>
      </c>
      <c r="T21" s="56">
        <v>332.06594366471495</v>
      </c>
      <c r="U21" s="56">
        <v>342.02792197465641</v>
      </c>
      <c r="V21" s="33"/>
    </row>
    <row r="22" spans="2:22" s="32" customFormat="1" ht="13.15">
      <c r="B22" s="47">
        <v>12</v>
      </c>
      <c r="C22" s="45"/>
      <c r="D22" s="32" t="s">
        <v>133</v>
      </c>
      <c r="E22" s="36" t="s">
        <v>145</v>
      </c>
      <c r="F22" s="36"/>
      <c r="G22" s="36"/>
      <c r="I22" s="56">
        <v>248.7</v>
      </c>
      <c r="J22" s="56">
        <v>254.8</v>
      </c>
      <c r="K22" s="56">
        <v>257.10000000000002</v>
      </c>
      <c r="L22" s="56">
        <v>261.10000000000002</v>
      </c>
      <c r="M22" s="56">
        <v>269.3</v>
      </c>
      <c r="N22" s="56">
        <v>278.3</v>
      </c>
      <c r="O22" s="56">
        <v>286.649</v>
      </c>
      <c r="P22" s="56">
        <v>295.24847</v>
      </c>
      <c r="Q22" s="56">
        <v>304.10592409999998</v>
      </c>
      <c r="R22" s="56">
        <v>313.22910182300001</v>
      </c>
      <c r="S22" s="56">
        <v>322.62597487769</v>
      </c>
      <c r="T22" s="56">
        <v>332.30475412402069</v>
      </c>
      <c r="U22" s="56">
        <v>342.27389674774133</v>
      </c>
      <c r="V22" s="33"/>
    </row>
    <row r="23" spans="2:22" s="35" customFormat="1" ht="13.1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2:22" s="35" customFormat="1" ht="26.45">
      <c r="C24" s="53"/>
      <c r="D24" s="35" t="s">
        <v>146</v>
      </c>
      <c r="E24" s="104" t="s">
        <v>147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/>
    </row>
    <row r="25" spans="2:22" s="35" customFormat="1" ht="13.1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2:22" s="35" customFormat="1" ht="13.15">
      <c r="C26" s="53" t="s">
        <v>148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149</v>
      </c>
    </row>
    <row r="27" spans="2:22" s="32" customFormat="1" ht="12.75" customHeight="1">
      <c r="C27" s="45"/>
      <c r="I27" s="49" t="s">
        <v>131</v>
      </c>
      <c r="J27" s="49" t="s">
        <v>131</v>
      </c>
      <c r="K27" s="49" t="s">
        <v>131</v>
      </c>
      <c r="L27" s="49" t="s">
        <v>131</v>
      </c>
      <c r="M27" s="49" t="s">
        <v>131</v>
      </c>
      <c r="N27" s="49" t="s">
        <v>131</v>
      </c>
      <c r="O27" s="49" t="s">
        <v>131</v>
      </c>
      <c r="P27" s="49" t="s">
        <v>131</v>
      </c>
      <c r="Q27" s="49" t="s">
        <v>131</v>
      </c>
      <c r="R27" s="49" t="s">
        <v>131</v>
      </c>
      <c r="S27" s="49" t="s">
        <v>131</v>
      </c>
      <c r="T27" s="49" t="s">
        <v>131</v>
      </c>
      <c r="U27" s="49" t="s">
        <v>131</v>
      </c>
      <c r="V27" s="33"/>
    </row>
    <row r="28" spans="2:22" s="32" customFormat="1" ht="12.75" customHeight="1">
      <c r="E28" s="50" t="s">
        <v>150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2:22" ht="12.75" customHeight="1">
      <c r="B29" s="47">
        <v>1</v>
      </c>
      <c r="C29" s="45"/>
      <c r="D29" s="44" t="s">
        <v>133</v>
      </c>
      <c r="E29" s="36" t="s">
        <v>134</v>
      </c>
      <c r="F29" s="36"/>
      <c r="G29" s="36"/>
      <c r="H29" s="47">
        <v>0</v>
      </c>
      <c r="I29" s="46">
        <f t="shared" ref="I29:U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279.7</v>
      </c>
      <c r="P29" s="46">
        <f t="shared" si="2"/>
        <v>288.09100000000001</v>
      </c>
      <c r="Q29" s="46">
        <f t="shared" si="2"/>
        <v>296.73373000000004</v>
      </c>
      <c r="R29" s="46">
        <f t="shared" si="2"/>
        <v>305.63574190000003</v>
      </c>
      <c r="S29" s="46">
        <f t="shared" si="2"/>
        <v>314.80481415700001</v>
      </c>
      <c r="T29" s="46">
        <f t="shared" si="2"/>
        <v>324.24895858171004</v>
      </c>
      <c r="U29" s="46">
        <f t="shared" si="2"/>
        <v>333.97642733916138</v>
      </c>
    </row>
    <row r="30" spans="2:22" ht="12.75" customHeight="1">
      <c r="B30" s="47">
        <v>2</v>
      </c>
      <c r="C30" s="45"/>
      <c r="D30" s="44" t="s">
        <v>133</v>
      </c>
      <c r="E30" s="36" t="s">
        <v>135</v>
      </c>
      <c r="F30" s="36"/>
      <c r="G30" s="36"/>
      <c r="H30" s="47">
        <v>0</v>
      </c>
      <c r="I30" s="46">
        <f t="shared" ref="I30:U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280.7</v>
      </c>
      <c r="P30" s="46">
        <f t="shared" si="3"/>
        <v>289.12099999999998</v>
      </c>
      <c r="Q30" s="46">
        <f t="shared" si="3"/>
        <v>297.79462999999998</v>
      </c>
      <c r="R30" s="46">
        <f t="shared" si="3"/>
        <v>306.7284689</v>
      </c>
      <c r="S30" s="46">
        <f t="shared" si="3"/>
        <v>315.930322967</v>
      </c>
      <c r="T30" s="46">
        <f t="shared" si="3"/>
        <v>325.40823265601</v>
      </c>
      <c r="U30" s="46">
        <f t="shared" si="3"/>
        <v>335.1704796356903</v>
      </c>
    </row>
    <row r="31" spans="2:22" ht="12.75" customHeight="1">
      <c r="B31" s="47">
        <v>3</v>
      </c>
      <c r="C31" s="45"/>
      <c r="D31" s="44" t="s">
        <v>133</v>
      </c>
      <c r="E31" s="36" t="s">
        <v>136</v>
      </c>
      <c r="F31" s="36"/>
      <c r="G31" s="36"/>
      <c r="H31" s="47">
        <v>0</v>
      </c>
      <c r="I31" s="46">
        <f t="shared" ref="I31:U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281.5</v>
      </c>
      <c r="P31" s="46">
        <f t="shared" si="4"/>
        <v>289.94499999999999</v>
      </c>
      <c r="Q31" s="46">
        <f t="shared" si="4"/>
        <v>298.64335</v>
      </c>
      <c r="R31" s="46">
        <f t="shared" si="4"/>
        <v>307.60265049999998</v>
      </c>
      <c r="S31" s="46">
        <f t="shared" si="4"/>
        <v>316.83073001499997</v>
      </c>
      <c r="T31" s="46">
        <f t="shared" si="4"/>
        <v>326.33565191545</v>
      </c>
      <c r="U31" s="46">
        <f t="shared" si="4"/>
        <v>336.12572147291348</v>
      </c>
    </row>
    <row r="32" spans="2:22" ht="12.75" customHeight="1">
      <c r="B32" s="47">
        <v>4</v>
      </c>
      <c r="C32" s="45"/>
      <c r="D32" s="44" t="s">
        <v>133</v>
      </c>
      <c r="E32" s="36" t="s">
        <v>137</v>
      </c>
      <c r="F32" s="36"/>
      <c r="G32" s="36"/>
      <c r="H32" s="47">
        <v>0</v>
      </c>
      <c r="I32" s="46">
        <f t="shared" ref="I32:U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281.08699999999999</v>
      </c>
      <c r="P32" s="46">
        <f t="shared" si="5"/>
        <v>289.51961</v>
      </c>
      <c r="Q32" s="46">
        <f t="shared" si="5"/>
        <v>298.20519830000001</v>
      </c>
      <c r="R32" s="46">
        <f t="shared" si="5"/>
        <v>307.15135424900001</v>
      </c>
      <c r="S32" s="46">
        <f t="shared" si="5"/>
        <v>316.36589487647001</v>
      </c>
      <c r="T32" s="46">
        <f t="shared" si="5"/>
        <v>325.85687172276414</v>
      </c>
      <c r="U32" s="46">
        <f t="shared" si="5"/>
        <v>335.63257787444707</v>
      </c>
    </row>
    <row r="33" spans="2:22" ht="12.75" customHeight="1">
      <c r="B33" s="47">
        <v>5</v>
      </c>
      <c r="C33" s="45"/>
      <c r="D33" s="44" t="s">
        <v>133</v>
      </c>
      <c r="E33" s="36" t="s">
        <v>138</v>
      </c>
      <c r="F33" s="36"/>
      <c r="G33" s="36"/>
      <c r="H33" s="47">
        <v>0</v>
      </c>
      <c r="I33" s="46">
        <f t="shared" ref="I33:U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282.94099999999997</v>
      </c>
      <c r="P33" s="46">
        <f t="shared" si="6"/>
        <v>291.42922999999996</v>
      </c>
      <c r="Q33" s="46">
        <f t="shared" si="6"/>
        <v>300.17210689999996</v>
      </c>
      <c r="R33" s="46">
        <f t="shared" si="6"/>
        <v>309.17727010699997</v>
      </c>
      <c r="S33" s="46">
        <f t="shared" si="6"/>
        <v>318.45258821020997</v>
      </c>
      <c r="T33" s="46">
        <f t="shared" si="6"/>
        <v>328.00616585651625</v>
      </c>
      <c r="U33" s="46">
        <f t="shared" si="6"/>
        <v>337.84635083221173</v>
      </c>
    </row>
    <row r="34" spans="2:22" ht="12.75" customHeight="1">
      <c r="B34" s="47">
        <v>6</v>
      </c>
      <c r="C34" s="45"/>
      <c r="D34" s="44" t="s">
        <v>133</v>
      </c>
      <c r="E34" s="36" t="s">
        <v>139</v>
      </c>
      <c r="F34" s="36"/>
      <c r="G34" s="36"/>
      <c r="H34" s="47">
        <v>0</v>
      </c>
      <c r="I34" s="46">
        <f t="shared" ref="I34:U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283.35300000000001</v>
      </c>
      <c r="P34" s="46">
        <f t="shared" si="7"/>
        <v>291.85359</v>
      </c>
      <c r="Q34" s="46">
        <f t="shared" si="7"/>
        <v>300.60919769999998</v>
      </c>
      <c r="R34" s="46">
        <f t="shared" si="7"/>
        <v>309.62747363099999</v>
      </c>
      <c r="S34" s="46">
        <f t="shared" si="7"/>
        <v>318.91629783993</v>
      </c>
      <c r="T34" s="46">
        <f t="shared" si="7"/>
        <v>328.4837867751279</v>
      </c>
      <c r="U34" s="46">
        <f t="shared" si="7"/>
        <v>338.33830037838175</v>
      </c>
    </row>
    <row r="35" spans="2:22" ht="12.75" customHeight="1">
      <c r="B35" s="47">
        <v>7</v>
      </c>
      <c r="C35" s="45"/>
      <c r="D35" s="44" t="s">
        <v>133</v>
      </c>
      <c r="E35" s="36" t="s">
        <v>140</v>
      </c>
      <c r="F35" s="36"/>
      <c r="G35" s="36"/>
      <c r="H35" s="47">
        <v>0</v>
      </c>
      <c r="I35" s="46">
        <f t="shared" ref="I35:U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283.55900000000003</v>
      </c>
      <c r="P35" s="46">
        <f t="shared" si="8"/>
        <v>292.06577000000004</v>
      </c>
      <c r="Q35" s="46">
        <f t="shared" si="8"/>
        <v>300.82774310000008</v>
      </c>
      <c r="R35" s="46">
        <f t="shared" si="8"/>
        <v>309.85257539300011</v>
      </c>
      <c r="S35" s="46">
        <f t="shared" si="8"/>
        <v>319.14815265479012</v>
      </c>
      <c r="T35" s="46">
        <f t="shared" si="8"/>
        <v>328.72259723443386</v>
      </c>
      <c r="U35" s="46">
        <f t="shared" si="8"/>
        <v>338.5842751514669</v>
      </c>
    </row>
    <row r="36" spans="2:22" ht="12.75" customHeight="1">
      <c r="B36" s="47">
        <v>8</v>
      </c>
      <c r="C36" s="45"/>
      <c r="D36" s="44" t="s">
        <v>133</v>
      </c>
      <c r="E36" s="36" t="s">
        <v>141</v>
      </c>
      <c r="F36" s="36"/>
      <c r="G36" s="36"/>
      <c r="H36" s="48">
        <f>H18</f>
        <v>238.5</v>
      </c>
      <c r="I36" s="46">
        <f t="shared" ref="I36:U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284.07400000000001</v>
      </c>
      <c r="P36" s="46">
        <f t="shared" si="9"/>
        <v>292.59622000000002</v>
      </c>
      <c r="Q36" s="46">
        <f t="shared" si="9"/>
        <v>301.3741066</v>
      </c>
      <c r="R36" s="46">
        <f t="shared" si="9"/>
        <v>310.41532979800002</v>
      </c>
      <c r="S36" s="46">
        <f t="shared" si="9"/>
        <v>319.72778969194002</v>
      </c>
      <c r="T36" s="46">
        <f t="shared" si="9"/>
        <v>329.31962338269824</v>
      </c>
      <c r="U36" s="46">
        <f t="shared" si="9"/>
        <v>339.19921208417918</v>
      </c>
    </row>
    <row r="37" spans="2:22" ht="12.75" customHeight="1">
      <c r="B37" s="47">
        <v>9</v>
      </c>
      <c r="C37" s="45"/>
      <c r="D37" s="44" t="s">
        <v>133</v>
      </c>
      <c r="E37" s="36" t="s">
        <v>142</v>
      </c>
      <c r="F37" s="36"/>
      <c r="G37" s="36"/>
      <c r="H37" s="47">
        <v>0</v>
      </c>
      <c r="I37" s="46">
        <f t="shared" ref="I37:U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286.44300000000004</v>
      </c>
      <c r="P37" s="46">
        <f t="shared" si="10"/>
        <v>295.03629000000006</v>
      </c>
      <c r="Q37" s="46">
        <f t="shared" si="10"/>
        <v>303.88737870000006</v>
      </c>
      <c r="R37" s="46">
        <f t="shared" si="10"/>
        <v>313.00400006100006</v>
      </c>
      <c r="S37" s="46">
        <f t="shared" si="10"/>
        <v>322.39412006283004</v>
      </c>
      <c r="T37" s="46">
        <f t="shared" si="10"/>
        <v>332.06594366471495</v>
      </c>
      <c r="U37" s="46">
        <f t="shared" si="10"/>
        <v>342.02792197465641</v>
      </c>
    </row>
    <row r="38" spans="2:22" ht="12.75" customHeight="1">
      <c r="B38" s="47">
        <v>10</v>
      </c>
      <c r="C38" s="45"/>
      <c r="D38" s="44" t="s">
        <v>133</v>
      </c>
      <c r="E38" s="36" t="s">
        <v>143</v>
      </c>
      <c r="F38" s="36"/>
      <c r="G38" s="36"/>
      <c r="H38" s="47">
        <v>0</v>
      </c>
      <c r="I38" s="46">
        <f t="shared" ref="I38:U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284.28000000000003</v>
      </c>
      <c r="P38" s="46">
        <f t="shared" si="11"/>
        <v>292.80840000000006</v>
      </c>
      <c r="Q38" s="46">
        <f t="shared" si="11"/>
        <v>301.5926520000001</v>
      </c>
      <c r="R38" s="46">
        <f t="shared" si="11"/>
        <v>310.64043156000014</v>
      </c>
      <c r="S38" s="46">
        <f t="shared" si="11"/>
        <v>319.95964450680015</v>
      </c>
      <c r="T38" s="46">
        <f t="shared" si="11"/>
        <v>329.55843384200415</v>
      </c>
      <c r="U38" s="46">
        <f t="shared" si="11"/>
        <v>339.44518685726428</v>
      </c>
    </row>
    <row r="39" spans="2:22" ht="12.75" customHeight="1">
      <c r="B39" s="47">
        <v>11</v>
      </c>
      <c r="C39" s="45"/>
      <c r="D39" s="44" t="s">
        <v>133</v>
      </c>
      <c r="E39" s="36" t="s">
        <v>144</v>
      </c>
      <c r="F39" s="36"/>
      <c r="G39" s="36"/>
      <c r="H39" s="47">
        <v>0</v>
      </c>
      <c r="I39" s="46">
        <f t="shared" ref="I39:U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286.44300000000004</v>
      </c>
      <c r="P39" s="46">
        <f t="shared" si="12"/>
        <v>295.03629000000006</v>
      </c>
      <c r="Q39" s="46">
        <f t="shared" si="12"/>
        <v>303.88737870000006</v>
      </c>
      <c r="R39" s="46">
        <f t="shared" si="12"/>
        <v>313.00400006100006</v>
      </c>
      <c r="S39" s="46">
        <f t="shared" si="12"/>
        <v>322.39412006283004</v>
      </c>
      <c r="T39" s="46">
        <f t="shared" si="12"/>
        <v>332.06594366471495</v>
      </c>
      <c r="U39" s="46">
        <f t="shared" si="12"/>
        <v>342.02792197465641</v>
      </c>
    </row>
    <row r="40" spans="2:22" ht="12.75" customHeight="1">
      <c r="B40" s="47">
        <v>12</v>
      </c>
      <c r="C40" s="45"/>
      <c r="D40" s="44" t="s">
        <v>133</v>
      </c>
      <c r="E40" s="36" t="s">
        <v>145</v>
      </c>
      <c r="F40" s="36"/>
      <c r="G40" s="36"/>
      <c r="H40" s="47">
        <v>0</v>
      </c>
      <c r="I40" s="46">
        <f t="shared" ref="I40:U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286.649</v>
      </c>
      <c r="P40" s="46">
        <f t="shared" si="13"/>
        <v>295.24847</v>
      </c>
      <c r="Q40" s="46">
        <f t="shared" si="13"/>
        <v>304.10592409999998</v>
      </c>
      <c r="R40" s="46">
        <f t="shared" si="13"/>
        <v>313.22910182300001</v>
      </c>
      <c r="S40" s="46">
        <f t="shared" si="13"/>
        <v>322.62597487769</v>
      </c>
      <c r="T40" s="46">
        <f t="shared" si="13"/>
        <v>332.30475412402069</v>
      </c>
      <c r="U40" s="46">
        <f t="shared" si="13"/>
        <v>342.27389674774133</v>
      </c>
    </row>
    <row r="41" spans="2:22" ht="12.75" customHeight="1">
      <c r="B41" s="45"/>
      <c r="C41" s="45"/>
      <c r="D41" s="44" t="s">
        <v>133</v>
      </c>
      <c r="E41" s="36" t="s">
        <v>151</v>
      </c>
      <c r="F41" s="36"/>
      <c r="G41" s="36"/>
      <c r="I41" s="43">
        <f t="shared" ref="I41:U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283.39408333333341</v>
      </c>
      <c r="P41" s="42">
        <f t="shared" si="14"/>
        <v>291.8959058333333</v>
      </c>
      <c r="Q41" s="42">
        <f t="shared" si="14"/>
        <v>300.65278300833342</v>
      </c>
      <c r="R41" s="42">
        <f t="shared" si="14"/>
        <v>309.67236649858336</v>
      </c>
      <c r="S41" s="42">
        <f t="shared" si="14"/>
        <v>318.96253749354088</v>
      </c>
      <c r="T41" s="42">
        <f t="shared" si="14"/>
        <v>328.53141361834707</v>
      </c>
      <c r="U41" s="42">
        <f t="shared" si="14"/>
        <v>338.38735602689746</v>
      </c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152</v>
      </c>
      <c r="F47" s="40"/>
      <c r="G47" s="40"/>
    </row>
    <row r="48" spans="2:22" s="32" customFormat="1" ht="12.75" customHeight="1">
      <c r="D48" s="35" t="s">
        <v>153</v>
      </c>
      <c r="E48" s="39" t="s">
        <v>154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3" t="s">
        <v>155</v>
      </c>
    </row>
    <row r="49" spans="1:22" s="32" customFormat="1" ht="12.75" customHeight="1">
      <c r="D49" s="35" t="s">
        <v>146</v>
      </c>
      <c r="E49" s="36" t="s">
        <v>156</v>
      </c>
      <c r="F49" s="39"/>
      <c r="G49" s="39"/>
      <c r="I49" s="34">
        <f t="shared" ref="I49:U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1.1910859538784067</v>
      </c>
      <c r="Q49" s="34">
        <f t="shared" si="15"/>
        <v>1.2268185324947589</v>
      </c>
      <c r="R49" s="34">
        <f t="shared" si="15"/>
        <v>1.2636230884696018</v>
      </c>
      <c r="S49" s="34">
        <f t="shared" si="15"/>
        <v>1.3015317811236897</v>
      </c>
      <c r="T49" s="34">
        <f t="shared" si="15"/>
        <v>1.3405777345574006</v>
      </c>
      <c r="U49" s="34">
        <f t="shared" si="15"/>
        <v>1.3807950665941227</v>
      </c>
      <c r="V49" s="33" t="s">
        <v>157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146</v>
      </c>
      <c r="E51" s="41" t="s">
        <v>158</v>
      </c>
      <c r="F51" s="36"/>
      <c r="G51" s="36"/>
      <c r="H51" s="32"/>
      <c r="I51" s="34"/>
      <c r="J51" s="34">
        <f t="shared" ref="J51:U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</v>
      </c>
      <c r="Q51" s="34">
        <f t="shared" si="16"/>
        <v>1.03</v>
      </c>
      <c r="R51" s="34">
        <f t="shared" si="16"/>
        <v>1.03</v>
      </c>
      <c r="S51" s="34">
        <f t="shared" si="16"/>
        <v>1.03</v>
      </c>
      <c r="T51" s="34">
        <f t="shared" si="16"/>
        <v>1.03</v>
      </c>
      <c r="U51" s="34">
        <f t="shared" si="16"/>
        <v>1.03</v>
      </c>
      <c r="V51" s="33" t="s">
        <v>159</v>
      </c>
    </row>
    <row r="52" spans="1:22" ht="12.75" customHeight="1">
      <c r="A52" s="32"/>
      <c r="B52" s="32"/>
      <c r="C52" s="37"/>
      <c r="D52" s="35"/>
      <c r="E52" s="36"/>
      <c r="F52" s="36"/>
      <c r="G52" s="36"/>
      <c r="H52" s="32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3"/>
    </row>
    <row r="53" spans="1:22" ht="12.75" customHeight="1">
      <c r="A53" s="32"/>
      <c r="B53" s="32"/>
      <c r="C53" s="37"/>
      <c r="D53" s="35"/>
      <c r="E53" s="36"/>
      <c r="F53" s="36"/>
      <c r="G53" s="36"/>
      <c r="H53" s="32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3"/>
    </row>
    <row r="54" spans="1:22" s="32" customFormat="1" ht="12.75" customHeight="1">
      <c r="E54" s="40"/>
      <c r="F54" s="40"/>
      <c r="G54" s="40"/>
    </row>
    <row r="55" spans="1:22" s="32" customFormat="1" ht="12.75" customHeight="1">
      <c r="D55" s="35"/>
      <c r="E55" s="39"/>
      <c r="F55" s="39"/>
      <c r="G55" s="39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6"/>
      <c r="D58" s="35"/>
      <c r="E58" s="107"/>
      <c r="F58" s="107"/>
      <c r="G58" s="107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127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1"/>
  </sheetPr>
  <dimension ref="A1:X15"/>
  <sheetViews>
    <sheetView showGridLines="0" showRowColHeaders="0" zoomScale="75" zoomScaleNormal="75" workbookViewId="0" xr3:uid="{F9CF3CF3-643B-5BE6-8B46-32C596A47465}">
      <selection activeCell="A20" sqref="A20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 tint="0.39997558519241921"/>
    <pageSetUpPr fitToPage="1"/>
  </sheetPr>
  <dimension ref="A1:W182"/>
  <sheetViews>
    <sheetView showGridLines="0" zoomScale="80" zoomScaleNormal="80" workbookViewId="0" xr3:uid="{78B4E459-6924-5F8B-B7BA-2DD04133E49E}">
      <pane xSplit="8" ySplit="7" topLeftCell="I47" activePane="bottomRight" state="frozen"/>
      <selection pane="bottomRight" activeCell="N62" sqref="N62:P64"/>
      <selection pane="bottomLeft" activeCell="E25" sqref="E25"/>
      <selection pane="topRight" activeCell="E25" sqref="E25"/>
    </sheetView>
  </sheetViews>
  <sheetFormatPr defaultColWidth="0" defaultRowHeight="13.15" zeroHeight="1"/>
  <cols>
    <col min="1" max="3" width="2.7109375" customWidth="1"/>
    <col min="4" max="4" width="9.140625" customWidth="1"/>
    <col min="5" max="5" width="68.85546875" customWidth="1"/>
    <col min="6" max="6" width="15.7109375" style="26" customWidth="1"/>
    <col min="7" max="7" width="7.85546875" customWidth="1"/>
    <col min="8" max="8" width="11.85546875" customWidth="1"/>
    <col min="9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1" customFormat="1" ht="33">
      <c r="A1" s="119"/>
      <c r="B1" s="119"/>
      <c r="C1" s="119"/>
      <c r="D1" s="119" t="s">
        <v>160</v>
      </c>
      <c r="E1" s="119"/>
      <c r="F1" s="120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s="1" customFormat="1" ht="14.45" customHeight="1">
      <c r="F2" s="24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65</v>
      </c>
      <c r="F3" s="24"/>
      <c r="G3" s="11"/>
      <c r="H3" s="11"/>
      <c r="I3" s="121" t="str">
        <f t="shared" ref="I3:U3" si="0">AMP.Years</f>
        <v>2012-13</v>
      </c>
      <c r="J3" s="121" t="str">
        <f t="shared" si="0"/>
        <v>2013-14</v>
      </c>
      <c r="K3" s="121" t="str">
        <f t="shared" si="0"/>
        <v>2014-15</v>
      </c>
      <c r="L3" s="122" t="str">
        <f t="shared" si="0"/>
        <v>2015-16</v>
      </c>
      <c r="M3" s="122" t="str">
        <f t="shared" si="0"/>
        <v>2016-17</v>
      </c>
      <c r="N3" s="122" t="str">
        <f t="shared" si="0"/>
        <v>2017-18</v>
      </c>
      <c r="O3" s="122" t="str">
        <f t="shared" si="0"/>
        <v>2018-19</v>
      </c>
      <c r="P3" s="122" t="str">
        <f t="shared" si="0"/>
        <v>2019-20</v>
      </c>
      <c r="Q3" s="121" t="str">
        <f t="shared" si="0"/>
        <v>2020-21</v>
      </c>
      <c r="R3" s="121" t="str">
        <f t="shared" si="0"/>
        <v>2021-22</v>
      </c>
      <c r="S3" s="121" t="str">
        <f t="shared" si="0"/>
        <v>2022-23</v>
      </c>
      <c r="T3" s="121" t="str">
        <f t="shared" si="0"/>
        <v>2023-24</v>
      </c>
      <c r="U3" s="121" t="str">
        <f t="shared" si="0"/>
        <v>2024-25</v>
      </c>
      <c r="V3" s="8"/>
      <c r="W3" s="11"/>
    </row>
    <row r="4" spans="1:23" s="2" customFormat="1">
      <c r="A4" s="91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66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67</v>
      </c>
      <c r="F6" s="24"/>
      <c r="G6" s="11"/>
      <c r="H6" s="11"/>
      <c r="I6" s="11"/>
      <c r="J6" s="11"/>
      <c r="K6" s="3"/>
      <c r="L6" s="91">
        <v>1</v>
      </c>
      <c r="M6" s="91">
        <v>2</v>
      </c>
      <c r="N6" s="91">
        <v>3</v>
      </c>
      <c r="O6" s="91">
        <v>4</v>
      </c>
      <c r="P6" s="91">
        <v>5</v>
      </c>
      <c r="Q6" s="91">
        <v>6</v>
      </c>
      <c r="R6" s="91">
        <v>7</v>
      </c>
      <c r="S6" s="91">
        <v>8</v>
      </c>
      <c r="T6" s="91">
        <v>9</v>
      </c>
      <c r="U6" s="91">
        <v>10</v>
      </c>
      <c r="V6" s="11"/>
      <c r="W6" s="11"/>
    </row>
    <row r="7" spans="1:23"/>
    <row r="8" spans="1:23" s="4" customFormat="1" ht="13.9">
      <c r="A8" s="92"/>
      <c r="B8" s="123"/>
      <c r="C8" s="123"/>
      <c r="D8" s="127"/>
      <c r="E8" s="125" t="s">
        <v>161</v>
      </c>
      <c r="F8" s="126"/>
      <c r="G8" s="124"/>
      <c r="H8" s="124"/>
      <c r="I8" s="124"/>
      <c r="J8" s="124"/>
      <c r="K8" s="124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24"/>
      <c r="W8" s="124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162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163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98</v>
      </c>
      <c r="E12" s="13" t="s">
        <v>97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0.88</v>
      </c>
      <c r="N12" s="20">
        <f>K.Water</f>
        <v>0.38</v>
      </c>
      <c r="O12" s="20">
        <f>K.Water</f>
        <v>0.16</v>
      </c>
      <c r="P12" s="20">
        <f>K.Water</f>
        <v>0.03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98</v>
      </c>
      <c r="E13" s="13" t="s">
        <v>164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3.0000000000000027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98</v>
      </c>
      <c r="E14" s="13" t="s">
        <v>165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1.0193017502917152</v>
      </c>
      <c r="N14" s="20">
        <f t="shared" ref="N14:P14" si="2">1+(N13+N12)/100</f>
        <v>1.0257399538106236</v>
      </c>
      <c r="O14" s="20">
        <f t="shared" si="2"/>
        <v>1.0403947269303202</v>
      </c>
      <c r="P14" s="20">
        <f t="shared" si="2"/>
        <v>1.0303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91</v>
      </c>
      <c r="E15" s="13" t="s">
        <v>166</v>
      </c>
      <c r="F15" s="24" t="s">
        <v>106</v>
      </c>
      <c r="G15" s="11"/>
      <c r="H15" s="11"/>
      <c r="I15" s="11"/>
      <c r="J15" s="11"/>
      <c r="K15" s="20">
        <f>AllRev.Water</f>
        <v>166.77799999999999</v>
      </c>
      <c r="L15" s="20">
        <f>K15*L14</f>
        <v>170.08577469258231</v>
      </c>
      <c r="M15" s="20">
        <f>L15*M14</f>
        <v>173.36872784387145</v>
      </c>
      <c r="N15" s="20">
        <f t="shared" ref="N15:P15" si="3">M15*N14</f>
        <v>177.83123089077927</v>
      </c>
      <c r="O15" s="20">
        <f t="shared" si="3"/>
        <v>185.01467490229501</v>
      </c>
      <c r="P15" s="20">
        <f t="shared" si="3"/>
        <v>190.62061955183455</v>
      </c>
      <c r="Q15" s="20"/>
      <c r="R15" s="20"/>
      <c r="S15" s="20"/>
      <c r="T15" s="20"/>
      <c r="U15" s="20"/>
      <c r="V15" s="8" t="s">
        <v>167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168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169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91</v>
      </c>
      <c r="E19" s="13" t="s">
        <v>170</v>
      </c>
      <c r="F19" s="24" t="s">
        <v>113</v>
      </c>
      <c r="G19" s="11"/>
      <c r="H19" s="11"/>
      <c r="I19" s="11"/>
      <c r="J19" s="11"/>
      <c r="K19" s="20">
        <f>BlindYear.1415.Adj.Water</f>
        <v>-3.5118934567193199</v>
      </c>
      <c r="L19" s="8" t="s">
        <v>171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91</v>
      </c>
      <c r="E20" s="13" t="s">
        <v>172</v>
      </c>
      <c r="F20" s="24" t="s">
        <v>113</v>
      </c>
      <c r="G20" s="11"/>
      <c r="H20" s="11"/>
      <c r="I20" s="11"/>
      <c r="J20" s="11"/>
      <c r="K20" s="20">
        <f>AMP5.RCM.Adj.Water</f>
        <v>-3.5118934567193199</v>
      </c>
      <c r="L20" s="20">
        <f>K20*(1+Discount.Rate)</f>
        <v>-3.6383216211612153</v>
      </c>
      <c r="M20" s="20">
        <f>L20*(1+Discount.Rate)</f>
        <v>-3.769301199523019</v>
      </c>
      <c r="N20" s="20">
        <f>M20*(1+Discount.Rate)</f>
        <v>-3.9049960427058479</v>
      </c>
      <c r="O20" s="20">
        <f>N20*(1+Discount.Rate)</f>
        <v>-4.045575900243259</v>
      </c>
      <c r="P20" s="20">
        <f>O20*(1+Discount.Rate)</f>
        <v>-4.1912166326520168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153</v>
      </c>
      <c r="E21" s="13" t="str">
        <f>Data!E44</f>
        <v>Percentage of blind year adjustment by year - water</v>
      </c>
      <c r="F21" s="24" t="s">
        <v>173</v>
      </c>
      <c r="G21" s="11"/>
      <c r="H21" s="11"/>
      <c r="I21" s="11"/>
      <c r="J21" s="11"/>
      <c r="K21" s="19"/>
      <c r="L21" s="19"/>
      <c r="M21" s="19"/>
      <c r="N21" s="100">
        <f>Data!N44</f>
        <v>0</v>
      </c>
      <c r="O21" s="100">
        <f>Data!O44</f>
        <v>0</v>
      </c>
      <c r="P21" s="100">
        <f>Data!P44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91</v>
      </c>
      <c r="E22" s="13" t="s">
        <v>174</v>
      </c>
      <c r="F22" s="24" t="s">
        <v>113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91</v>
      </c>
      <c r="E23" s="13" t="s">
        <v>175</v>
      </c>
      <c r="F23" s="24" t="s">
        <v>106</v>
      </c>
      <c r="G23" s="11"/>
      <c r="H23" s="11"/>
      <c r="I23" s="11"/>
      <c r="J23" s="11"/>
      <c r="K23" s="19"/>
      <c r="L23" s="75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176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153</v>
      </c>
      <c r="E25" s="113" t="s">
        <v>177</v>
      </c>
      <c r="F25" s="24" t="s">
        <v>173</v>
      </c>
      <c r="G25" s="11"/>
      <c r="H25" s="11"/>
      <c r="I25" s="11"/>
      <c r="J25" s="11"/>
      <c r="K25" s="19"/>
      <c r="L25" s="75"/>
      <c r="M25" s="19"/>
      <c r="N25" s="19"/>
      <c r="O25" s="19"/>
      <c r="P25" s="115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91</v>
      </c>
      <c r="E26" s="113" t="s">
        <v>178</v>
      </c>
      <c r="F26" s="24" t="s">
        <v>113</v>
      </c>
      <c r="G26" s="11"/>
      <c r="H26" s="11"/>
      <c r="I26" s="11"/>
      <c r="J26" s="11"/>
      <c r="K26" s="19"/>
      <c r="L26" s="75"/>
      <c r="M26" s="19"/>
      <c r="N26" s="19"/>
      <c r="O26" s="19"/>
      <c r="P26" s="114">
        <f xml:space="preserve"> P20*(1+Discount.Rate)</f>
        <v>-4.3421004314274896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91</v>
      </c>
      <c r="E27" s="113" t="s">
        <v>179</v>
      </c>
      <c r="F27" s="24" t="s">
        <v>113</v>
      </c>
      <c r="G27" s="11"/>
      <c r="H27" s="11"/>
      <c r="I27" s="11"/>
      <c r="J27" s="11"/>
      <c r="K27" s="19"/>
      <c r="L27" s="75"/>
      <c r="M27" s="19"/>
      <c r="N27" s="19"/>
      <c r="O27" s="19"/>
      <c r="P27" s="114">
        <f xml:space="preserve"> P25 * P26</f>
        <v>-4.3421004314274896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91</v>
      </c>
      <c r="E28" s="113" t="s">
        <v>180</v>
      </c>
      <c r="F28" s="24" t="s">
        <v>106</v>
      </c>
      <c r="G28" s="11"/>
      <c r="H28" s="11"/>
      <c r="I28" s="11"/>
      <c r="J28" s="11"/>
      <c r="K28" s="19"/>
      <c r="L28" s="75"/>
      <c r="M28" s="19"/>
      <c r="N28" s="19"/>
      <c r="O28" s="19"/>
      <c r="P28" s="114">
        <f>P27*Indexation.November.Actual</f>
        <v>-5.1718148342026522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181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182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91</v>
      </c>
      <c r="E32" s="13" t="s">
        <v>183</v>
      </c>
      <c r="F32" s="24" t="s">
        <v>106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-2.9698378189254169</v>
      </c>
      <c r="O32" s="20">
        <f t="shared" si="6"/>
        <v>-0.40323571217906762</v>
      </c>
      <c r="P32" s="20">
        <f t="shared" si="6"/>
        <v>-8.1566738045293015</v>
      </c>
      <c r="Q32" s="20"/>
      <c r="R32" s="20"/>
      <c r="S32" s="14"/>
      <c r="T32" s="14"/>
      <c r="U32" s="14"/>
      <c r="V32" s="8" t="s">
        <v>184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91</v>
      </c>
      <c r="E34" s="13" t="str">
        <f>Data!E50</f>
        <v>Over-recovered 17/18 revenue returned - water</v>
      </c>
      <c r="F34" s="24" t="s">
        <v>106</v>
      </c>
      <c r="G34" s="13"/>
      <c r="H34" s="13"/>
      <c r="I34" s="13"/>
      <c r="J34" s="13"/>
      <c r="K34" s="13"/>
      <c r="L34" s="20"/>
      <c r="M34" s="20"/>
      <c r="N34" s="20"/>
      <c r="O34" s="108">
        <f>(0 - Data!O50)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91</v>
      </c>
      <c r="E35" s="13" t="s">
        <v>185</v>
      </c>
      <c r="F35" s="24" t="s">
        <v>106</v>
      </c>
      <c r="G35" s="13"/>
      <c r="H35" s="13"/>
      <c r="I35" s="13"/>
      <c r="J35" s="13"/>
      <c r="K35" s="13"/>
      <c r="L35" s="20"/>
      <c r="M35" s="20"/>
      <c r="N35" s="20"/>
      <c r="O35" s="20"/>
      <c r="P35" s="108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91</v>
      </c>
      <c r="E36" s="13" t="str">
        <f>Data!E53</f>
        <v>Over-recovered 18/19 revenue returned - water</v>
      </c>
      <c r="F36" s="24" t="s">
        <v>106</v>
      </c>
      <c r="G36" s="13"/>
      <c r="H36" s="13"/>
      <c r="I36" s="13"/>
      <c r="J36" s="13"/>
      <c r="K36" s="13"/>
      <c r="L36" s="20"/>
      <c r="M36" s="20"/>
      <c r="N36" s="20"/>
      <c r="O36" s="20"/>
      <c r="P36" s="108">
        <f>(0 - Data!P53)</f>
        <v>1.0324391901159515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91</v>
      </c>
      <c r="E37" s="13" t="s">
        <v>186</v>
      </c>
      <c r="F37" s="24" t="s">
        <v>106</v>
      </c>
      <c r="L37" s="20">
        <f>L15</f>
        <v>170.08577469258231</v>
      </c>
      <c r="M37" s="20">
        <f>M15</f>
        <v>173.36872784387145</v>
      </c>
      <c r="N37" s="20">
        <f>N15</f>
        <v>177.83123089077927</v>
      </c>
      <c r="O37" s="20">
        <f>O15</f>
        <v>185.01467490229501</v>
      </c>
      <c r="P37" s="20">
        <f>P15</f>
        <v>190.62061955183455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91</v>
      </c>
      <c r="E38" s="13" t="s">
        <v>187</v>
      </c>
      <c r="F38" s="24" t="s">
        <v>106</v>
      </c>
      <c r="G38" s="11"/>
      <c r="H38" s="11"/>
      <c r="I38" s="11"/>
      <c r="J38" s="11"/>
      <c r="K38" s="11"/>
      <c r="L38" s="108">
        <f>AllRev.Outturn.Water+RCM.BlindYear.Adj.Water+AMP6.FI.Adj.Water+L34+L35+L36</f>
        <v>170.08577469258231</v>
      </c>
      <c r="M38" s="108">
        <f>AllRev.Outturn.Water+RCM.BlindYear.Adj.Water+AMP6.FI.Adj.Water+M34+M35+M36</f>
        <v>173.36872784387145</v>
      </c>
      <c r="N38" s="108">
        <f>AllRev.Outturn.Water+RCM.BlindYear.Adj.Water+AMP6.FI.Adj.Water+N34+N35+N36</f>
        <v>174.86139307185385</v>
      </c>
      <c r="O38" s="108">
        <f>AllRev.Outturn.Water+RCM.BlindYear.Adj.Water+AMP6.FI.Adj.Water+O34+O35+O36</f>
        <v>184.61143919011596</v>
      </c>
      <c r="P38" s="108">
        <f>AllRev.Outturn.Water+RCM.BlindYear.Adj.Water+AMP6.FI.Adj.Water+P34+P35+P36</f>
        <v>183.4963849374212</v>
      </c>
      <c r="Q38" s="20"/>
      <c r="R38" s="20"/>
      <c r="S38" s="20"/>
      <c r="T38" s="20"/>
      <c r="U38" s="20"/>
      <c r="V38" s="8" t="s">
        <v>188</v>
      </c>
      <c r="W38" s="11"/>
    </row>
    <row r="39" spans="1:23">
      <c r="A39" s="11"/>
      <c r="B39" s="11"/>
      <c r="C39" s="11"/>
      <c r="D39" s="12" t="s">
        <v>91</v>
      </c>
      <c r="E39" s="13" t="s">
        <v>189</v>
      </c>
      <c r="F39" s="24" t="s">
        <v>106</v>
      </c>
      <c r="L39" s="20">
        <f>IF($G33=TRUE,L38,MIN(L37:L38))</f>
        <v>170.08577469258231</v>
      </c>
      <c r="M39" s="20">
        <f>IF($G33=TRUE,M38,MIN(M37:M38))</f>
        <v>173.36872784387145</v>
      </c>
      <c r="N39" s="20">
        <f>IF($G33=TRUE,N38,MIN(N37:N38))</f>
        <v>174.86139307185385</v>
      </c>
      <c r="O39" s="20">
        <f>IF($G33=TRUE,O38,MIN(O37:O38))</f>
        <v>184.61143919011596</v>
      </c>
      <c r="P39" s="20">
        <f>IF($G33=TRUE,P38,MIN(P37:P38))</f>
        <v>183.4963849374212</v>
      </c>
      <c r="Q39" s="20"/>
      <c r="R39" s="20"/>
      <c r="S39" s="20"/>
      <c r="T39" s="20"/>
      <c r="U39" s="20"/>
      <c r="V39" s="8" t="s">
        <v>190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91</v>
      </c>
      <c r="E41" s="13" t="s">
        <v>191</v>
      </c>
      <c r="F41" s="24" t="s">
        <v>106</v>
      </c>
      <c r="G41" s="11"/>
      <c r="H41" s="11"/>
      <c r="I41" s="11"/>
      <c r="J41" s="11"/>
      <c r="K41" s="11"/>
      <c r="L41" s="20">
        <f t="shared" ref="L41:O41" si="7">RecRev.Water</f>
        <v>172.76525626</v>
      </c>
      <c r="M41" s="20">
        <f t="shared" si="7"/>
        <v>173.72263093999999</v>
      </c>
      <c r="N41" s="20">
        <f t="shared" si="7"/>
        <v>181.76425479</v>
      </c>
      <c r="O41" s="20">
        <f t="shared" si="7"/>
        <v>183.57900000000001</v>
      </c>
      <c r="P41" s="20">
        <f>RecRev.Water</f>
        <v>183.49638493742123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91</v>
      </c>
      <c r="E43" s="13" t="s">
        <v>192</v>
      </c>
      <c r="F43" s="24" t="s">
        <v>106</v>
      </c>
      <c r="G43" s="11"/>
      <c r="H43" s="11"/>
      <c r="I43" s="11"/>
      <c r="J43" s="11"/>
      <c r="K43" s="11"/>
      <c r="L43" s="20">
        <f t="shared" ref="L43:M43" si="8">L41-L38</f>
        <v>2.6794815674176959</v>
      </c>
      <c r="M43" s="20">
        <f t="shared" si="8"/>
        <v>0.35390309612853343</v>
      </c>
      <c r="N43" s="20">
        <f>N41-N38</f>
        <v>6.9028617181461414</v>
      </c>
      <c r="O43" s="20">
        <f t="shared" ref="O43" si="9">O41-O38</f>
        <v>-1.0324391901159515</v>
      </c>
      <c r="P43" s="20">
        <f>P41-P38</f>
        <v>0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78</v>
      </c>
      <c r="E44" s="13" t="s">
        <v>193</v>
      </c>
      <c r="F44" s="24"/>
      <c r="G44" s="11"/>
      <c r="H44" s="11"/>
      <c r="I44" s="11"/>
      <c r="J44" s="11"/>
      <c r="K44" s="11"/>
      <c r="L44" s="95">
        <f>IF(L38=0,0,L43/L38)</f>
        <v>1.5753707635225017E-2</v>
      </c>
      <c r="M44" s="95">
        <f t="shared" ref="M44:P44" si="10">IF(M38=0,0,M43/M38)</f>
        <v>2.0413317933972706E-3</v>
      </c>
      <c r="N44" s="95">
        <f t="shared" si="10"/>
        <v>3.9476190809652451E-2</v>
      </c>
      <c r="O44" s="95">
        <f t="shared" si="10"/>
        <v>-5.5924984640454934E-3</v>
      </c>
      <c r="P44" s="95">
        <f t="shared" si="10"/>
        <v>0</v>
      </c>
      <c r="Q44" s="20"/>
      <c r="R44" s="20"/>
      <c r="S44" s="20"/>
      <c r="T44" s="20"/>
      <c r="U44" s="20"/>
      <c r="V44" s="8" t="s">
        <v>194</v>
      </c>
      <c r="W44" s="11"/>
    </row>
    <row r="45" spans="1:23">
      <c r="A45" s="11"/>
      <c r="B45" s="11"/>
      <c r="C45" s="11"/>
      <c r="D45" s="12"/>
      <c r="E45" s="13"/>
      <c r="K45" s="11"/>
      <c r="L45" s="95"/>
      <c r="M45" s="95"/>
      <c r="N45" s="95"/>
      <c r="O45" s="95"/>
      <c r="P45" s="95"/>
      <c r="Q45" s="20"/>
      <c r="R45" s="20"/>
      <c r="S45" s="20"/>
      <c r="T45" s="20"/>
      <c r="U45" s="20"/>
      <c r="V45" s="8"/>
    </row>
    <row r="46" spans="1:23">
      <c r="A46" s="11"/>
      <c r="B46" s="11"/>
      <c r="C46" s="11"/>
      <c r="D46" s="12"/>
      <c r="E46" s="22" t="s">
        <v>195</v>
      </c>
      <c r="K46" s="11"/>
      <c r="L46" s="95"/>
      <c r="M46" s="95"/>
      <c r="N46" s="95"/>
      <c r="O46" s="95"/>
      <c r="P46" s="95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91</v>
      </c>
      <c r="E47" s="13" t="s">
        <v>196</v>
      </c>
      <c r="F47" s="24" t="s">
        <v>106</v>
      </c>
      <c r="J47" s="19">
        <v>0</v>
      </c>
      <c r="K47" s="19">
        <v>0</v>
      </c>
      <c r="L47" s="20">
        <f>0-L43*(1+Discount.Rate)*(1+Discount.Rate)</f>
        <v>-2.8758768483831436</v>
      </c>
      <c r="M47" s="20">
        <f>0-M43*(1+Discount.Rate)*(1+Discount.Rate)</f>
        <v>-0.37984277746237044</v>
      </c>
      <c r="N47" s="20">
        <f>0-N43*(1+Discount.Rate)*(1+Discount.Rate)</f>
        <v>-7.4088138706393813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91</v>
      </c>
      <c r="E48" s="13" t="s">
        <v>197</v>
      </c>
      <c r="F48" s="24" t="s">
        <v>198</v>
      </c>
      <c r="J48" s="75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-2.9698378189254169</v>
      </c>
      <c r="M48" s="20">
        <f>M47*INDEX(Indexation.November.Actual.YearOnYear,,MATCH(N$5,Calendar.Years,0))*(INDEX(Indexation.November.Actual.YearOnYear,,MATCH(O$5,Calendar.Years,0)))</f>
        <v>-0.40323571217906762</v>
      </c>
      <c r="N48" s="20">
        <f>N47*INDEX(Indexation.November.Actual.YearOnYear,,MATCH(O$5,Calendar.Years,0))*(INDEX(Indexation.November.Actual.YearOnYear,,MATCH(P$5,Calendar.Years,0)))</f>
        <v>-7.9271238850772567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/>
      <c r="B49" s="11"/>
      <c r="C49" s="11"/>
      <c r="D49" s="12" t="s">
        <v>91</v>
      </c>
      <c r="E49" s="13" t="s">
        <v>199</v>
      </c>
      <c r="F49" s="24" t="s">
        <v>106</v>
      </c>
      <c r="J49" s="19"/>
      <c r="K49" s="19"/>
      <c r="L49" s="19"/>
      <c r="M49" s="19"/>
      <c r="N49" s="20">
        <f>L48</f>
        <v>-2.9698378189254169</v>
      </c>
      <c r="O49" s="20">
        <f>M48</f>
        <v>-0.40323571217906762</v>
      </c>
      <c r="P49" s="20">
        <f>N48</f>
        <v>-7.9271238850772567</v>
      </c>
      <c r="Q49" s="20"/>
      <c r="R49" s="20"/>
      <c r="S49" s="20"/>
      <c r="T49" s="20"/>
      <c r="U49" s="20"/>
      <c r="V49" s="8"/>
    </row>
    <row r="50" spans="1:23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>
      <c r="A51" s="11"/>
      <c r="B51" s="11"/>
      <c r="C51" s="11"/>
      <c r="D51" s="12"/>
      <c r="E51" s="22" t="s">
        <v>200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78</v>
      </c>
      <c r="E52" s="13" t="s">
        <v>201</v>
      </c>
      <c r="F52" s="24"/>
      <c r="L52" s="95">
        <f>IF(L39=0,0,ABS((L41-L39)/L39))</f>
        <v>1.5753707635225017E-2</v>
      </c>
      <c r="M52" s="95">
        <f t="shared" ref="M52:P52" si="11">IF(M39=0,0,ABS((M41-M39)/M39))</f>
        <v>2.0413317933972706E-3</v>
      </c>
      <c r="N52" s="95">
        <f t="shared" si="11"/>
        <v>3.9476190809652451E-2</v>
      </c>
      <c r="O52" s="95">
        <f t="shared" si="11"/>
        <v>5.5924984640454934E-3</v>
      </c>
      <c r="P52" s="95">
        <f t="shared" si="11"/>
        <v>1.5488975131633695E-16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202</v>
      </c>
      <c r="E53" s="13" t="s">
        <v>203</v>
      </c>
      <c r="F53" s="24"/>
      <c r="G53" s="11"/>
      <c r="H53" s="11"/>
      <c r="I53" s="11"/>
      <c r="J53" s="11"/>
      <c r="K53" s="11"/>
      <c r="L53" s="96" t="b">
        <f>L52&gt;Threshold.Min</f>
        <v>0</v>
      </c>
      <c r="M53" s="96" t="b">
        <f>M52&gt;Threshold.Min</f>
        <v>0</v>
      </c>
      <c r="N53" s="96" t="b">
        <f>N52&gt;Threshold.Min</f>
        <v>1</v>
      </c>
      <c r="O53" s="96" t="b">
        <f>O52&gt;Threshold.Min</f>
        <v>0</v>
      </c>
      <c r="P53" s="96" t="b">
        <f>P52&gt;Threshold.Min</f>
        <v>0</v>
      </c>
      <c r="Q53" s="20"/>
      <c r="R53" s="20"/>
      <c r="S53" s="20"/>
      <c r="T53" s="20"/>
      <c r="U53" s="20"/>
      <c r="V53" s="11"/>
      <c r="W53"/>
    </row>
    <row r="54" spans="1:23">
      <c r="A54" s="11"/>
      <c r="B54" s="11"/>
      <c r="C54" s="11"/>
      <c r="D54" s="12" t="s">
        <v>78</v>
      </c>
      <c r="E54" s="13" t="s">
        <v>204</v>
      </c>
      <c r="K54" s="11"/>
      <c r="L54" s="95">
        <f>L53*Penalty.Rate.General*MIN(1,(L52-Threshold.Min)/(Threshold.Max-Threshold.Min))</f>
        <v>0</v>
      </c>
      <c r="M54" s="95">
        <f>M53*Penalty.Rate.General*MIN(1,(M52-Threshold.Min)/(Threshold.Max-Threshold.Min))</f>
        <v>0</v>
      </c>
      <c r="N54" s="95">
        <f>N53*Penalty.Rate.General*MIN(1,(N52-Threshold.Min)/(Threshold.Max-Threshold.Min))</f>
        <v>0.03</v>
      </c>
      <c r="O54" s="95">
        <f>O53*Penalty.Rate.General*MIN(1,(O52-Threshold.Min)/(Threshold.Max-Threshold.Min))</f>
        <v>0</v>
      </c>
      <c r="P54" s="95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3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91</v>
      </c>
      <c r="E56" s="13" t="s">
        <v>205</v>
      </c>
      <c r="F56" s="24" t="s">
        <v>106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-0.20708585154438422</v>
      </c>
      <c r="O56" s="20">
        <f t="shared" ref="O56:P56" si="12">0-O54*ABS(O41-O39)</f>
        <v>0</v>
      </c>
      <c r="P56" s="20">
        <f t="shared" si="12"/>
        <v>0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91</v>
      </c>
      <c r="E57" s="13" t="s">
        <v>206</v>
      </c>
      <c r="F57" s="24" t="s">
        <v>106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-0.21454094219998207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91</v>
      </c>
      <c r="E58" s="13" t="s">
        <v>207</v>
      </c>
      <c r="F58" s="24" t="s">
        <v>106</v>
      </c>
      <c r="J58" s="75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-0.22954991945204409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/>
      <c r="B59" s="11"/>
      <c r="C59" s="11"/>
      <c r="D59" s="12" t="s">
        <v>91</v>
      </c>
      <c r="E59" s="13" t="s">
        <v>208</v>
      </c>
      <c r="F59" s="24" t="s">
        <v>106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-0.22954991945204409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>
      <c r="A61" s="11"/>
      <c r="B61" s="11"/>
      <c r="C61" s="11"/>
      <c r="E61" s="22" t="s">
        <v>209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91</v>
      </c>
      <c r="E62" s="13" t="s">
        <v>199</v>
      </c>
      <c r="F62" s="24" t="s">
        <v>106</v>
      </c>
      <c r="L62" s="19"/>
      <c r="M62" s="19"/>
      <c r="N62" s="20">
        <f>N49</f>
        <v>-2.9698378189254169</v>
      </c>
      <c r="O62" s="20">
        <f>O49</f>
        <v>-0.40323571217906762</v>
      </c>
      <c r="P62" s="20">
        <f>P49</f>
        <v>-7.9271238850772567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91</v>
      </c>
      <c r="E63" s="13" t="s">
        <v>208</v>
      </c>
      <c r="F63" s="24" t="s">
        <v>106</v>
      </c>
      <c r="L63" s="19"/>
      <c r="M63" s="19"/>
      <c r="N63" s="20">
        <f>N59</f>
        <v>0</v>
      </c>
      <c r="O63" s="20">
        <f>O59</f>
        <v>0</v>
      </c>
      <c r="P63" s="20">
        <f>P59</f>
        <v>-0.22954991945204409</v>
      </c>
      <c r="Q63" s="20"/>
      <c r="R63" s="20"/>
      <c r="S63" s="20"/>
      <c r="T63" s="20"/>
      <c r="U63" s="20"/>
      <c r="V63" s="8"/>
    </row>
    <row r="64" spans="1:23">
      <c r="A64" s="11"/>
      <c r="B64" s="11"/>
      <c r="C64" s="11"/>
      <c r="D64" s="12" t="s">
        <v>91</v>
      </c>
      <c r="E64" s="13" t="s">
        <v>210</v>
      </c>
      <c r="F64" s="24" t="s">
        <v>106</v>
      </c>
      <c r="K64" s="11"/>
      <c r="L64" s="19"/>
      <c r="M64" s="19"/>
      <c r="N64" s="20">
        <f>SUM(N62:N63)</f>
        <v>-2.9698378189254169</v>
      </c>
      <c r="O64" s="20">
        <f>SUM(O62:O63)</f>
        <v>-0.40323571217906762</v>
      </c>
      <c r="P64" s="20">
        <f>SUM(P62:P63)</f>
        <v>-8.1566738045293015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211</v>
      </c>
      <c r="K66" s="11"/>
    </row>
    <row r="67" spans="1:23">
      <c r="D67" s="17" t="s">
        <v>202</v>
      </c>
      <c r="E67" s="13" t="s">
        <v>212</v>
      </c>
      <c r="K67" s="11"/>
      <c r="L67" s="96" t="b">
        <f t="shared" ref="L67:O67" si="13">ABS(Perc.Recovered.Water)&gt;Additional.Analysis</f>
        <v>0</v>
      </c>
      <c r="M67" s="96" t="b">
        <f t="shared" si="13"/>
        <v>0</v>
      </c>
      <c r="N67" s="96" t="b">
        <f t="shared" si="13"/>
        <v>0</v>
      </c>
      <c r="O67" s="96" t="b">
        <f t="shared" si="13"/>
        <v>0</v>
      </c>
      <c r="P67" s="96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2"/>
      <c r="B69" s="123"/>
      <c r="C69" s="123"/>
      <c r="D69" s="127"/>
      <c r="E69" s="125" t="s">
        <v>213</v>
      </c>
      <c r="F69" s="126"/>
      <c r="G69" s="124"/>
      <c r="H69" s="124"/>
      <c r="I69" s="124"/>
      <c r="J69" s="124"/>
      <c r="K69" s="124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24"/>
      <c r="W69" s="124"/>
    </row>
    <row r="70" spans="1:23">
      <c r="E70" s="13"/>
    </row>
    <row r="71" spans="1:23">
      <c r="E71" s="24" t="s">
        <v>214</v>
      </c>
    </row>
    <row r="72" spans="1:23">
      <c r="D72" s="12" t="s">
        <v>91</v>
      </c>
      <c r="E72" s="13" t="s">
        <v>215</v>
      </c>
      <c r="F72" s="24" t="s">
        <v>106</v>
      </c>
      <c r="L72" s="19"/>
      <c r="M72" s="19"/>
      <c r="N72" s="19"/>
      <c r="O72" s="19"/>
      <c r="P72" s="20">
        <f>0-O43*(1+Discount.Rate)*Indexation.November.Actual.YearOnYear</f>
        <v>1.1016952109889295</v>
      </c>
    </row>
    <row r="73" spans="1:23">
      <c r="D73" s="12" t="s">
        <v>91</v>
      </c>
      <c r="E73" s="13" t="s">
        <v>216</v>
      </c>
      <c r="F73" s="24" t="s">
        <v>106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D74" s="12" t="s">
        <v>91</v>
      </c>
      <c r="E74" s="13" t="s">
        <v>217</v>
      </c>
      <c r="F74" s="24" t="s">
        <v>106</v>
      </c>
      <c r="L74" s="19"/>
      <c r="M74" s="19"/>
      <c r="N74" s="19"/>
      <c r="O74" s="19"/>
      <c r="P74" s="20">
        <f>SUM(P72:P73)</f>
        <v>1.1016952109889295</v>
      </c>
    </row>
    <row r="75" spans="1:23"/>
    <row r="76" spans="1:23">
      <c r="E76" s="24" t="s">
        <v>218</v>
      </c>
    </row>
    <row r="77" spans="1:23">
      <c r="D77" s="12" t="s">
        <v>91</v>
      </c>
      <c r="E77" s="13" t="s">
        <v>219</v>
      </c>
      <c r="F77" s="24" t="s">
        <v>106</v>
      </c>
      <c r="L77" s="19"/>
      <c r="M77" s="19"/>
      <c r="N77" s="19"/>
      <c r="O77" s="19"/>
      <c r="P77" s="20">
        <f>0-P43</f>
        <v>0</v>
      </c>
    </row>
    <row r="78" spans="1:23">
      <c r="D78" s="12" t="s">
        <v>91</v>
      </c>
      <c r="E78" s="13" t="s">
        <v>220</v>
      </c>
      <c r="F78" s="24" t="s">
        <v>106</v>
      </c>
      <c r="L78" s="19"/>
      <c r="M78" s="19"/>
      <c r="N78" s="19"/>
      <c r="O78" s="19"/>
      <c r="P78" s="20">
        <f>P56</f>
        <v>0</v>
      </c>
    </row>
    <row r="79" spans="1:23">
      <c r="D79" s="12" t="s">
        <v>91</v>
      </c>
      <c r="E79" s="13" t="s">
        <v>221</v>
      </c>
      <c r="F79" s="24" t="s">
        <v>106</v>
      </c>
      <c r="L79" s="19"/>
      <c r="M79" s="19"/>
      <c r="N79" s="19"/>
      <c r="O79" s="19"/>
      <c r="P79" s="20">
        <f>SUM(P77:P78)</f>
        <v>0</v>
      </c>
    </row>
    <row r="80" spans="1:23">
      <c r="E80" s="13"/>
    </row>
    <row r="81" spans="1:23">
      <c r="E81" s="24" t="s">
        <v>222</v>
      </c>
    </row>
    <row r="82" spans="1:23">
      <c r="D82" s="12" t="s">
        <v>91</v>
      </c>
      <c r="E82" s="113" t="str">
        <f>E28</f>
        <v>AMP5 RCM adjustment to be applied at PR19 (Outturn price base)</v>
      </c>
      <c r="F82" s="24" t="s">
        <v>106</v>
      </c>
      <c r="L82" s="19"/>
      <c r="M82" s="19"/>
      <c r="N82" s="19"/>
      <c r="O82" s="19"/>
      <c r="P82" s="114">
        <f>P28</f>
        <v>-5.1718148342026522</v>
      </c>
      <c r="R82" s="118"/>
    </row>
    <row r="83" spans="1:23">
      <c r="E83" s="13"/>
    </row>
    <row r="84" spans="1:23">
      <c r="D84" s="12" t="s">
        <v>91</v>
      </c>
      <c r="E84" s="22" t="s">
        <v>223</v>
      </c>
      <c r="F84" s="24" t="s">
        <v>106</v>
      </c>
      <c r="L84" s="19"/>
      <c r="M84" s="19"/>
      <c r="N84" s="19"/>
      <c r="O84" s="19"/>
      <c r="P84" s="114">
        <f>SUM(P74,P79,P82)</f>
        <v>-4.0701196232137224</v>
      </c>
      <c r="Q84" s="8" t="s">
        <v>224</v>
      </c>
    </row>
    <row r="85" spans="1:23" ht="13.9" thickBot="1">
      <c r="E85" s="16"/>
    </row>
    <row r="86" spans="1:23" ht="13.9" thickBot="1">
      <c r="A86" s="6" t="s">
        <v>127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3" priority="4" operator="equal">
      <formula>TRUE</formula>
    </cfRule>
  </conditionalFormatting>
  <conditionalFormatting sqref="L67:P67">
    <cfRule type="cellIs" dxfId="2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3" tint="0.39997558519241921"/>
    <pageSetUpPr fitToPage="1"/>
  </sheetPr>
  <dimension ref="A1:W164"/>
  <sheetViews>
    <sheetView showGridLines="0" zoomScale="80" zoomScaleNormal="80" workbookViewId="0" xr3:uid="{9B253EF2-77E0-53E3-AE26-4D66ECD923F3}">
      <pane xSplit="8" ySplit="7" topLeftCell="I56" activePane="bottomRight" state="frozen"/>
      <selection pane="bottomRight" activeCell="T75" sqref="T75"/>
      <selection pane="bottomLeft" activeCell="P85" sqref="P85"/>
      <selection pane="topRight" activeCell="P85" sqref="P85"/>
    </sheetView>
  </sheetViews>
  <sheetFormatPr defaultColWidth="0" defaultRowHeight="13.1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1" customFormat="1" ht="33">
      <c r="A1" s="119"/>
      <c r="B1" s="119"/>
      <c r="C1" s="119"/>
      <c r="D1" s="119" t="s">
        <v>225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s="1" customFormat="1" ht="13.9">
      <c r="F2" s="11"/>
      <c r="G2" s="11"/>
      <c r="O2" s="11"/>
      <c r="P2" s="11"/>
    </row>
    <row r="3" spans="1:23" s="2" customFormat="1">
      <c r="A3" s="11"/>
      <c r="B3" s="11"/>
      <c r="C3" s="11"/>
      <c r="D3" s="11"/>
      <c r="E3" s="11" t="s">
        <v>65</v>
      </c>
      <c r="F3" s="11"/>
      <c r="G3" s="11"/>
      <c r="H3" s="11"/>
      <c r="I3" s="121" t="str">
        <f t="shared" ref="I3:U3" si="0">AMP.Years</f>
        <v>2012-13</v>
      </c>
      <c r="J3" s="121" t="str">
        <f t="shared" si="0"/>
        <v>2013-14</v>
      </c>
      <c r="K3" s="121" t="str">
        <f t="shared" si="0"/>
        <v>2014-15</v>
      </c>
      <c r="L3" s="122" t="str">
        <f t="shared" si="0"/>
        <v>2015-16</v>
      </c>
      <c r="M3" s="122" t="str">
        <f t="shared" si="0"/>
        <v>2016-17</v>
      </c>
      <c r="N3" s="122" t="str">
        <f t="shared" si="0"/>
        <v>2017-18</v>
      </c>
      <c r="O3" s="122" t="str">
        <f t="shared" si="0"/>
        <v>2018-19</v>
      </c>
      <c r="P3" s="122" t="str">
        <f t="shared" si="0"/>
        <v>2019-20</v>
      </c>
      <c r="Q3" s="121" t="str">
        <f t="shared" si="0"/>
        <v>2020-21</v>
      </c>
      <c r="R3" s="121" t="str">
        <f t="shared" si="0"/>
        <v>2021-22</v>
      </c>
      <c r="S3" s="121" t="str">
        <f t="shared" si="0"/>
        <v>2022-23</v>
      </c>
      <c r="T3" s="121" t="str">
        <f t="shared" si="0"/>
        <v>2023-24</v>
      </c>
      <c r="U3" s="121" t="str">
        <f t="shared" si="0"/>
        <v>2024-25</v>
      </c>
      <c r="V3" s="8"/>
      <c r="W3" s="11"/>
    </row>
    <row r="4" spans="1:23" s="2" customFormat="1">
      <c r="A4" s="91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>
      <c r="A5" s="11"/>
      <c r="B5" s="11"/>
      <c r="C5" s="11"/>
      <c r="D5" s="11"/>
      <c r="E5" s="11" t="s">
        <v>66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>
      <c r="A6" s="11"/>
      <c r="B6" s="11"/>
      <c r="C6" s="11"/>
      <c r="D6" s="11"/>
      <c r="E6" s="11" t="s">
        <v>67</v>
      </c>
      <c r="F6" s="11"/>
      <c r="G6" s="11"/>
      <c r="H6" s="11"/>
      <c r="I6" s="11"/>
      <c r="J6" s="11"/>
      <c r="K6" s="3"/>
      <c r="L6" s="91">
        <v>1</v>
      </c>
      <c r="M6" s="91">
        <v>2</v>
      </c>
      <c r="N6" s="91">
        <v>3</v>
      </c>
      <c r="O6" s="91">
        <v>4</v>
      </c>
      <c r="P6" s="91">
        <v>5</v>
      </c>
      <c r="Q6" s="91">
        <v>6</v>
      </c>
      <c r="R6" s="91">
        <v>7</v>
      </c>
      <c r="S6" s="91">
        <v>8</v>
      </c>
      <c r="T6" s="91">
        <v>9</v>
      </c>
      <c r="U6" s="91">
        <v>10</v>
      </c>
      <c r="V6" s="11"/>
      <c r="W6" s="11"/>
    </row>
    <row r="7" spans="1:23"/>
    <row r="8" spans="1:23" s="4" customFormat="1" ht="13.9">
      <c r="A8" s="92"/>
      <c r="B8" s="123"/>
      <c r="C8" s="123"/>
      <c r="D8" s="127"/>
      <c r="E8" s="125" t="s">
        <v>161</v>
      </c>
      <c r="F8" s="124"/>
      <c r="G8" s="124"/>
      <c r="H8" s="124"/>
      <c r="I8" s="124"/>
      <c r="J8" s="124"/>
      <c r="K8" s="124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24"/>
      <c r="W8" s="124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162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>
      <c r="A11" s="11"/>
      <c r="B11" s="11"/>
      <c r="C11" s="11"/>
      <c r="D11" s="12"/>
      <c r="E11" s="5" t="s">
        <v>163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98</v>
      </c>
      <c r="E12" s="13" t="s">
        <v>97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0.87</v>
      </c>
      <c r="N12" s="20">
        <f>K.Waste</f>
        <v>0.37</v>
      </c>
      <c r="O12" s="20">
        <f>K.Waste</f>
        <v>0.1</v>
      </c>
      <c r="P12" s="20">
        <f>K.Waste</f>
        <v>0.05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98</v>
      </c>
      <c r="E13" s="13" t="s">
        <v>164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3.0000000000000027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98</v>
      </c>
      <c r="E14" s="13" t="s">
        <v>165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1.0192017502917152</v>
      </c>
      <c r="N14" s="20">
        <f t="shared" ref="N14:P14" si="2">1+(N13+N12)/100</f>
        <v>1.0256399538106236</v>
      </c>
      <c r="O14" s="20">
        <f t="shared" si="2"/>
        <v>1.03979472693032</v>
      </c>
      <c r="P14" s="20">
        <f t="shared" si="2"/>
        <v>1.0305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91</v>
      </c>
      <c r="E15" s="13" t="s">
        <v>166</v>
      </c>
      <c r="F15" s="24" t="s">
        <v>106</v>
      </c>
      <c r="G15" s="11"/>
      <c r="H15" s="11"/>
      <c r="I15" s="11"/>
      <c r="J15" s="11"/>
      <c r="K15" s="20">
        <f>AllRev.Waste</f>
        <v>291.608</v>
      </c>
      <c r="L15" s="20">
        <f>K15*L14</f>
        <v>297.39157794525983</v>
      </c>
      <c r="M15" s="20">
        <f>L15*M14</f>
        <v>303.10201676382388</v>
      </c>
      <c r="N15" s="20">
        <f>M15*N14</f>
        <v>310.87353847355519</v>
      </c>
      <c r="O15" s="20">
        <f t="shared" ref="O15" si="3">N15*O14</f>
        <v>323.24466604697267</v>
      </c>
      <c r="P15" s="20">
        <f>O15*P14</f>
        <v>333.1036283614053</v>
      </c>
      <c r="Q15" s="20"/>
      <c r="R15" s="20"/>
      <c r="S15" s="20"/>
      <c r="T15" s="20"/>
      <c r="U15" s="20"/>
      <c r="V15" s="8" t="s">
        <v>226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168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>
      <c r="A18" s="11"/>
      <c r="B18" s="11"/>
      <c r="C18" s="11"/>
      <c r="D18" s="12"/>
      <c r="E18" s="5" t="s">
        <v>169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91</v>
      </c>
      <c r="E19" s="13" t="s">
        <v>170</v>
      </c>
      <c r="F19" s="24" t="s">
        <v>113</v>
      </c>
      <c r="G19" s="11"/>
      <c r="H19" s="11"/>
      <c r="I19" s="11"/>
      <c r="J19" s="11"/>
      <c r="K19" s="20">
        <f>BlindYear.1415.Adj.Waste</f>
        <v>-6.7963260966498096</v>
      </c>
      <c r="L19" s="8" t="s">
        <v>227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91</v>
      </c>
      <c r="E20" s="13" t="s">
        <v>172</v>
      </c>
      <c r="F20" s="24" t="s">
        <v>113</v>
      </c>
      <c r="G20" s="11"/>
      <c r="H20" s="11"/>
      <c r="I20" s="11"/>
      <c r="J20" s="11"/>
      <c r="K20" s="20">
        <f>AMP5.RCM.Adj.Waste</f>
        <v>-6.7963260966498096</v>
      </c>
      <c r="L20" s="20">
        <f>K20*(1+Discount.Rate)</f>
        <v>-7.0409938361292026</v>
      </c>
      <c r="M20" s="20">
        <f>L20*(1+Discount.Rate)</f>
        <v>-7.294469614229854</v>
      </c>
      <c r="N20" s="20">
        <f>M20*(1+Discount.Rate)</f>
        <v>-7.5570705203421289</v>
      </c>
      <c r="O20" s="20">
        <f>N20*(1+Discount.Rate)</f>
        <v>-7.8291250590744461</v>
      </c>
      <c r="P20" s="20">
        <f>O20*(1+Discount.Rate)</f>
        <v>-8.110973561201126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153</v>
      </c>
      <c r="E21" s="13" t="str">
        <f>Data!E45</f>
        <v>Percentage of blind year adjustment by year - waste</v>
      </c>
      <c r="F21" s="24" t="s">
        <v>173</v>
      </c>
      <c r="G21" s="11"/>
      <c r="H21" s="11"/>
      <c r="I21" s="11"/>
      <c r="J21" s="11"/>
      <c r="K21" s="19"/>
      <c r="L21" s="19"/>
      <c r="M21" s="19"/>
      <c r="N21" s="100">
        <f>Data!N45</f>
        <v>0</v>
      </c>
      <c r="O21" s="100">
        <f>Data!O45</f>
        <v>0</v>
      </c>
      <c r="P21" s="100">
        <f>Data!P45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91</v>
      </c>
      <c r="E22" s="13" t="s">
        <v>174</v>
      </c>
      <c r="F22" s="24" t="s">
        <v>113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91</v>
      </c>
      <c r="E23" s="13" t="s">
        <v>175</v>
      </c>
      <c r="F23" s="24" t="s">
        <v>106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228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153</v>
      </c>
      <c r="E25" s="113" t="s">
        <v>229</v>
      </c>
      <c r="F25" s="24" t="s">
        <v>173</v>
      </c>
      <c r="G25" s="11"/>
      <c r="H25" s="11"/>
      <c r="I25" s="11"/>
      <c r="J25" s="11"/>
      <c r="K25" s="19"/>
      <c r="L25" s="19"/>
      <c r="M25" s="19"/>
      <c r="N25" s="19"/>
      <c r="O25" s="19"/>
      <c r="P25" s="115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91</v>
      </c>
      <c r="E26" s="113" t="s">
        <v>178</v>
      </c>
      <c r="F26" s="24" t="s">
        <v>113</v>
      </c>
      <c r="G26" s="11"/>
      <c r="H26" s="11"/>
      <c r="I26" s="11"/>
      <c r="J26" s="11"/>
      <c r="K26" s="19"/>
      <c r="L26" s="75"/>
      <c r="M26" s="19"/>
      <c r="N26" s="19"/>
      <c r="O26" s="19"/>
      <c r="P26" s="114">
        <f xml:space="preserve"> P20*(1+Discount.Rate)</f>
        <v>-8.4029686094043665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91</v>
      </c>
      <c r="E27" s="113" t="s">
        <v>179</v>
      </c>
      <c r="F27" s="24" t="s">
        <v>113</v>
      </c>
      <c r="G27" s="11"/>
      <c r="H27" s="11"/>
      <c r="I27" s="11"/>
      <c r="J27" s="11"/>
      <c r="K27" s="19"/>
      <c r="L27" s="75"/>
      <c r="M27" s="19"/>
      <c r="N27" s="19"/>
      <c r="O27" s="19"/>
      <c r="P27" s="114">
        <f xml:space="preserve"> P25 * P26</f>
        <v>-8.4029686094043665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91</v>
      </c>
      <c r="E28" s="113" t="s">
        <v>180</v>
      </c>
      <c r="F28" s="24" t="s">
        <v>106</v>
      </c>
      <c r="G28" s="11"/>
      <c r="H28" s="11"/>
      <c r="I28" s="11"/>
      <c r="J28" s="11"/>
      <c r="K28" s="19"/>
      <c r="L28" s="75"/>
      <c r="M28" s="19"/>
      <c r="N28" s="19"/>
      <c r="O28" s="19"/>
      <c r="P28" s="114">
        <f>P27*Indexation.November.Actual</f>
        <v>-10.008657881542709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181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>
      <c r="A31" s="11"/>
      <c r="B31" s="11"/>
      <c r="C31" s="11"/>
      <c r="D31" s="12"/>
      <c r="E31" s="5" t="s">
        <v>182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91</v>
      </c>
      <c r="E32" s="13" t="s">
        <v>183</v>
      </c>
      <c r="F32" s="24" t="s">
        <v>106</v>
      </c>
      <c r="G32" s="11"/>
      <c r="H32" s="11"/>
      <c r="I32" s="11"/>
      <c r="J32" s="11"/>
      <c r="K32" s="11"/>
      <c r="L32" s="20">
        <f>J48+J58</f>
        <v>0</v>
      </c>
      <c r="M32" s="20">
        <f t="shared" ref="M32:O32" si="6">K48+K58</f>
        <v>0</v>
      </c>
      <c r="N32" s="20">
        <f>L48+L58</f>
        <v>-5.6619852129906683</v>
      </c>
      <c r="O32" s="20">
        <f t="shared" si="6"/>
        <v>-4.412860951433589</v>
      </c>
      <c r="P32" s="20">
        <f>N48+N58</f>
        <v>-12.629859482984713</v>
      </c>
      <c r="Q32" s="20"/>
      <c r="R32" s="20"/>
      <c r="S32" s="14"/>
      <c r="T32" s="14"/>
      <c r="U32" s="14"/>
      <c r="V32" s="8" t="s">
        <v>230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91</v>
      </c>
      <c r="E34" s="13" t="str">
        <f>Data!E51</f>
        <v>Over-recovered 17/18 revenue returned - wastewater</v>
      </c>
      <c r="F34" s="24" t="s">
        <v>106</v>
      </c>
      <c r="G34" s="13"/>
      <c r="H34" s="13"/>
      <c r="I34" s="11"/>
      <c r="J34" s="11"/>
      <c r="K34" s="11"/>
      <c r="L34" s="20"/>
      <c r="M34" s="20"/>
      <c r="N34" s="20"/>
      <c r="O34" s="108">
        <f>(0 - Data!O51)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91</v>
      </c>
      <c r="E35" s="13" t="s">
        <v>231</v>
      </c>
      <c r="F35" s="24" t="s">
        <v>106</v>
      </c>
      <c r="G35" s="13"/>
      <c r="H35" s="13"/>
      <c r="I35" s="11"/>
      <c r="J35" s="11"/>
      <c r="K35" s="11"/>
      <c r="L35" s="20"/>
      <c r="M35" s="20"/>
      <c r="N35" s="20"/>
      <c r="O35" s="20"/>
      <c r="P35" s="108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91</v>
      </c>
      <c r="E36" s="13" t="str">
        <f>Data!E54</f>
        <v>Over-recovered 18/19 revenue returned - wastewater</v>
      </c>
      <c r="F36" s="24" t="s">
        <v>106</v>
      </c>
      <c r="G36" s="13"/>
      <c r="H36" s="13"/>
      <c r="I36" s="11"/>
      <c r="J36" s="11"/>
      <c r="K36" s="11"/>
      <c r="L36" s="20"/>
      <c r="M36" s="20"/>
      <c r="N36" s="20"/>
      <c r="O36" s="20"/>
      <c r="P36" s="108">
        <f>(0 - Data!P54)</f>
        <v>1.980509553908405E-2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91</v>
      </c>
      <c r="E37" s="13" t="s">
        <v>186</v>
      </c>
      <c r="F37" s="24" t="s">
        <v>106</v>
      </c>
      <c r="G37"/>
      <c r="H37"/>
      <c r="I37"/>
      <c r="J37"/>
      <c r="K37"/>
      <c r="L37" s="20">
        <f>L15</f>
        <v>297.39157794525983</v>
      </c>
      <c r="M37" s="20">
        <f>M15</f>
        <v>303.10201676382388</v>
      </c>
      <c r="N37" s="20">
        <f>N15</f>
        <v>310.87353847355519</v>
      </c>
      <c r="O37" s="20">
        <f>O15</f>
        <v>323.24466604697267</v>
      </c>
      <c r="P37" s="20">
        <f>P15</f>
        <v>333.1036283614053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91</v>
      </c>
      <c r="E38" s="13" t="s">
        <v>187</v>
      </c>
      <c r="F38" s="24" t="s">
        <v>106</v>
      </c>
      <c r="G38" s="11"/>
      <c r="H38" s="11"/>
      <c r="I38" s="11"/>
      <c r="J38" s="11"/>
      <c r="K38" s="11"/>
      <c r="L38" s="108">
        <f>AllRev.Outturn.Waste+RCM.BlindYear.Adj.Waste+AMP6.FI.Adj.Waste+L34+L35+L36</f>
        <v>297.39157794525983</v>
      </c>
      <c r="M38" s="108">
        <f>AllRev.Outturn.Waste+RCM.BlindYear.Adj.Waste+AMP6.FI.Adj.Waste+M34+M35+M36</f>
        <v>303.10201676382388</v>
      </c>
      <c r="N38" s="108">
        <f>AllRev.Outturn.Waste+RCM.BlindYear.Adj.Waste+AMP6.FI.Adj.Waste+N34+N35+N36</f>
        <v>305.21155326056453</v>
      </c>
      <c r="O38" s="108">
        <f>AllRev.Outturn.Waste+RCM.BlindYear.Adj.Waste+AMP6.FI.Adj.Waste+O34+O35+O36</f>
        <v>318.8318050955391</v>
      </c>
      <c r="P38" s="108">
        <f>AllRev.Outturn.Waste+RCM.BlindYear.Adj.Waste+AMP6.FI.Adj.Waste+P34+P35+P36</f>
        <v>320.49357397395966</v>
      </c>
      <c r="Q38" s="20"/>
      <c r="R38" s="20">
        <f>P15-P32</f>
        <v>345.73348784439003</v>
      </c>
      <c r="S38" s="20"/>
      <c r="T38" s="20"/>
      <c r="U38" s="20"/>
      <c r="V38" s="8" t="s">
        <v>232</v>
      </c>
    </row>
    <row r="39" spans="1:22" s="2" customFormat="1">
      <c r="A39" s="11"/>
      <c r="B39" s="11"/>
      <c r="C39" s="11"/>
      <c r="D39" s="12" t="s">
        <v>91</v>
      </c>
      <c r="E39" s="13" t="s">
        <v>189</v>
      </c>
      <c r="F39" s="24" t="s">
        <v>106</v>
      </c>
      <c r="G39"/>
      <c r="H39"/>
      <c r="I39"/>
      <c r="J39"/>
      <c r="K39"/>
      <c r="L39" s="20">
        <f>IF($G33=TRUE,L38,MIN(L37:L38))</f>
        <v>297.39157794525983</v>
      </c>
      <c r="M39" s="20">
        <f t="shared" ref="M39:P39" si="7">IF($G33=TRUE,M38,MIN(M37:M38))</f>
        <v>303.10201676382388</v>
      </c>
      <c r="N39" s="20">
        <f t="shared" si="7"/>
        <v>305.21155326056453</v>
      </c>
      <c r="O39" s="20">
        <f t="shared" si="7"/>
        <v>318.8318050955391</v>
      </c>
      <c r="P39" s="20">
        <f t="shared" si="7"/>
        <v>320.49357397395966</v>
      </c>
      <c r="Q39" s="20"/>
      <c r="R39" s="20"/>
      <c r="S39" s="14"/>
      <c r="T39" s="14"/>
      <c r="U39" s="14"/>
      <c r="V39" s="8" t="s">
        <v>233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91</v>
      </c>
      <c r="E41" s="13" t="s">
        <v>191</v>
      </c>
      <c r="F41" s="24" t="s">
        <v>106</v>
      </c>
      <c r="G41" s="11"/>
      <c r="H41" s="11"/>
      <c r="I41" s="11"/>
      <c r="J41" s="11"/>
      <c r="K41" s="11"/>
      <c r="L41" s="20">
        <f>RecRev.Waste</f>
        <v>302.5</v>
      </c>
      <c r="M41" s="20">
        <f>RecRev.Waste</f>
        <v>306.97499999999997</v>
      </c>
      <c r="N41" s="20">
        <f>RecRev.Waste</f>
        <v>315.90000000000003</v>
      </c>
      <c r="O41" s="20">
        <f>RecRev.Waste</f>
        <v>318.81200000000001</v>
      </c>
      <c r="P41" s="20">
        <f>RecRev.Waste</f>
        <v>320.49299999999999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91</v>
      </c>
      <c r="E43" s="13" t="s">
        <v>192</v>
      </c>
      <c r="F43" s="24" t="s">
        <v>106</v>
      </c>
      <c r="G43" s="11"/>
      <c r="H43" s="11"/>
      <c r="I43" s="11"/>
      <c r="J43" s="11"/>
      <c r="K43" s="11"/>
      <c r="L43" s="20">
        <f t="shared" ref="L43:M43" si="8">L41-L38</f>
        <v>5.1084220547401742</v>
      </c>
      <c r="M43" s="20">
        <f t="shared" si="8"/>
        <v>3.8729832361760828</v>
      </c>
      <c r="N43" s="20">
        <f>N41-N38</f>
        <v>10.688446739435506</v>
      </c>
      <c r="O43" s="20">
        <f>O41-O38</f>
        <v>-1.980509553908405E-2</v>
      </c>
      <c r="P43" s="20">
        <f>P41-P38</f>
        <v>-5.7397395966063414E-4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78</v>
      </c>
      <c r="E44" s="13" t="s">
        <v>193</v>
      </c>
      <c r="F44" s="24"/>
      <c r="G44" s="11"/>
      <c r="H44" s="11"/>
      <c r="I44" s="11"/>
      <c r="J44" s="11"/>
      <c r="K44" s="11"/>
      <c r="L44" s="95">
        <f>IF(L38=0,0,L43/L38)</f>
        <v>1.7177426778644249E-2</v>
      </c>
      <c r="M44" s="95">
        <f t="shared" ref="M44:P44" si="9">IF(M38=0,0,M43/M38)</f>
        <v>1.2777820740117012E-2</v>
      </c>
      <c r="N44" s="95">
        <f t="shared" si="9"/>
        <v>3.5019797334836102E-2</v>
      </c>
      <c r="O44" s="95">
        <f t="shared" si="9"/>
        <v>-6.2117690966085958E-5</v>
      </c>
      <c r="P44" s="95">
        <f t="shared" si="9"/>
        <v>-1.7909062966337975E-6</v>
      </c>
      <c r="Q44" s="20"/>
      <c r="R44" s="20"/>
      <c r="S44" s="20"/>
      <c r="T44" s="20"/>
      <c r="U44" s="20"/>
      <c r="V44" s="8" t="s">
        <v>234</v>
      </c>
    </row>
    <row r="45" spans="1:22">
      <c r="A45" s="11"/>
      <c r="B45" s="11"/>
      <c r="C45" s="11"/>
      <c r="D45" s="12"/>
      <c r="E45" s="13"/>
      <c r="F45" s="26"/>
      <c r="K45" s="11"/>
      <c r="L45" s="95"/>
      <c r="M45" s="95"/>
      <c r="N45" s="95"/>
      <c r="O45" s="95"/>
      <c r="P45" s="95"/>
      <c r="Q45" s="20"/>
      <c r="R45" s="20"/>
      <c r="S45" s="20"/>
      <c r="T45" s="20"/>
      <c r="U45" s="20"/>
      <c r="V45" s="8"/>
    </row>
    <row r="46" spans="1:22">
      <c r="A46" s="11"/>
      <c r="B46" s="11"/>
      <c r="C46" s="11"/>
      <c r="D46" s="12"/>
      <c r="E46" s="22" t="s">
        <v>195</v>
      </c>
      <c r="F46" s="26"/>
      <c r="K46" s="11"/>
      <c r="L46" s="95"/>
      <c r="M46" s="95"/>
      <c r="N46" s="95"/>
      <c r="O46" s="95"/>
      <c r="P46" s="95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91</v>
      </c>
      <c r="E47" s="13" t="s">
        <v>196</v>
      </c>
      <c r="F47" s="24" t="s">
        <v>106</v>
      </c>
      <c r="J47" s="19">
        <v>0</v>
      </c>
      <c r="K47" s="19">
        <v>0</v>
      </c>
      <c r="L47" s="20">
        <f>0-L43*(1+Discount.Rate)*(1+Discount.Rate)</f>
        <v>-5.4828489576644106</v>
      </c>
      <c r="M47" s="20">
        <f>0-M43*(1+Discount.Rate)*(1+Discount.Rate)</f>
        <v>-4.1568574154548452</v>
      </c>
      <c r="N47" s="20">
        <f>0-N43*(1+Discount.Rate)*(1+Discount.Rate)</f>
        <v>-11.471867131649171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91</v>
      </c>
      <c r="E48" s="13" t="s">
        <v>197</v>
      </c>
      <c r="F48" s="24" t="s">
        <v>198</v>
      </c>
      <c r="J48" s="75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-5.6619852129906683</v>
      </c>
      <c r="M48" s="20">
        <f>M47*INDEX(Indexation.November.Actual.YearOnYear,,MATCH(N$5,Calendar.Years,0))*(INDEX(Indexation.November.Actual.YearOnYear,,MATCH(O$5,Calendar.Years,0)))</f>
        <v>-4.412860951433589</v>
      </c>
      <c r="N48" s="20">
        <f>N47*INDEX(Indexation.November.Actual.YearOnYear,,MATCH(O$5,Calendar.Years,0))*(INDEX(Indexation.November.Actual.YearOnYear,,MATCH(P$5,Calendar.Years,0)))</f>
        <v>-12.274422536934487</v>
      </c>
      <c r="O48" s="19"/>
      <c r="P48" s="19"/>
    </row>
    <row r="49" spans="1:21">
      <c r="A49" s="11"/>
      <c r="B49" s="11"/>
      <c r="C49" s="11"/>
      <c r="D49" s="12" t="s">
        <v>91</v>
      </c>
      <c r="E49" s="13" t="s">
        <v>199</v>
      </c>
      <c r="F49" s="24" t="s">
        <v>106</v>
      </c>
      <c r="J49" s="19"/>
      <c r="K49" s="19"/>
      <c r="L49" s="19"/>
      <c r="M49" s="19"/>
      <c r="N49" s="20">
        <f>L48</f>
        <v>-5.6619852129906683</v>
      </c>
      <c r="O49" s="20">
        <f>M48</f>
        <v>-4.412860951433589</v>
      </c>
      <c r="P49" s="20">
        <f>N48</f>
        <v>-12.274422536934487</v>
      </c>
    </row>
    <row r="50" spans="1:21">
      <c r="A50" s="11"/>
      <c r="B50" s="11"/>
      <c r="C50" s="11"/>
      <c r="D50" s="12"/>
      <c r="E50" s="15"/>
      <c r="F50" s="24"/>
    </row>
    <row r="51" spans="1:21">
      <c r="A51" s="11"/>
      <c r="B51" s="11"/>
      <c r="C51" s="11"/>
      <c r="D51" s="12"/>
      <c r="E51" s="22" t="s">
        <v>200</v>
      </c>
      <c r="F51" s="24"/>
    </row>
    <row r="52" spans="1:21">
      <c r="A52" s="11"/>
      <c r="B52" s="11"/>
      <c r="C52" s="11"/>
      <c r="D52" s="12" t="s">
        <v>78</v>
      </c>
      <c r="E52" s="13" t="s">
        <v>201</v>
      </c>
      <c r="F52" s="24"/>
      <c r="L52" s="95">
        <f>IF(L39=0,0,ABS((L41-L39)/L39))</f>
        <v>1.7177426778644249E-2</v>
      </c>
      <c r="M52" s="95">
        <f t="shared" ref="M52:P52" si="10">IF(M39=0,0,ABS((M41-M39)/M39))</f>
        <v>1.2777820740117012E-2</v>
      </c>
      <c r="N52" s="95">
        <f t="shared" si="10"/>
        <v>3.5019797334836102E-2</v>
      </c>
      <c r="O52" s="95">
        <f t="shared" si="10"/>
        <v>6.2117690966085958E-5</v>
      </c>
      <c r="P52" s="95">
        <f t="shared" si="10"/>
        <v>1.7909062966337975E-6</v>
      </c>
    </row>
    <row r="53" spans="1:21">
      <c r="A53" s="11"/>
      <c r="B53" s="11"/>
      <c r="C53" s="11"/>
      <c r="D53" s="17" t="s">
        <v>202</v>
      </c>
      <c r="E53" s="13" t="s">
        <v>203</v>
      </c>
      <c r="F53" s="24"/>
      <c r="G53" s="11"/>
      <c r="H53" s="11"/>
      <c r="I53" s="11"/>
      <c r="J53" s="11"/>
      <c r="K53" s="11"/>
      <c r="L53" s="96" t="b">
        <f>L52&gt;Threshold.Min</f>
        <v>0</v>
      </c>
      <c r="M53" s="96" t="b">
        <f>M52&gt;Threshold.Min</f>
        <v>0</v>
      </c>
      <c r="N53" s="96" t="b">
        <f>N52&gt;Threshold.Min</f>
        <v>1</v>
      </c>
      <c r="O53" s="96" t="b">
        <f>O52&gt;Threshold.Min</f>
        <v>0</v>
      </c>
      <c r="P53" s="96" t="b">
        <f>P52&gt;Threshold.Min</f>
        <v>0</v>
      </c>
      <c r="Q53" s="20"/>
      <c r="R53" s="20"/>
      <c r="S53" s="20"/>
      <c r="T53" s="20"/>
      <c r="U53" s="20"/>
    </row>
    <row r="54" spans="1:21">
      <c r="A54" s="11"/>
      <c r="B54" s="11"/>
      <c r="C54" s="11"/>
      <c r="D54" s="12" t="s">
        <v>78</v>
      </c>
      <c r="E54" s="13" t="s">
        <v>204</v>
      </c>
      <c r="F54" s="26"/>
      <c r="K54" s="11"/>
      <c r="L54" s="95">
        <f>L53*Penalty.Rate.General*MIN(1,(L52-Threshold.Min)/(Threshold.Max-Threshold.Min))</f>
        <v>0</v>
      </c>
      <c r="M54" s="95">
        <f>M53*Penalty.Rate.General*MIN(1,(M52-Threshold.Min)/(Threshold.Max-Threshold.Min))</f>
        <v>0</v>
      </c>
      <c r="N54" s="95">
        <f>N53*Penalty.Rate.General*MIN(1,(N52-Threshold.Min)/(Threshold.Max-Threshold.Min))</f>
        <v>0.03</v>
      </c>
      <c r="O54" s="95">
        <f>O53*Penalty.Rate.General*MIN(1,(O52-Threshold.Min)/(Threshold.Max-Threshold.Min))</f>
        <v>0</v>
      </c>
      <c r="P54" s="95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91</v>
      </c>
      <c r="E56" s="13" t="s">
        <v>205</v>
      </c>
      <c r="F56" s="24" t="s">
        <v>106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-0.32065340218306515</v>
      </c>
      <c r="O56" s="20">
        <f t="shared" ref="O56:P56" si="11">0-O54*ABS(O41-O39)</f>
        <v>0</v>
      </c>
      <c r="P56" s="20">
        <f t="shared" si="11"/>
        <v>0</v>
      </c>
    </row>
    <row r="57" spans="1:21">
      <c r="A57" s="11"/>
      <c r="B57" s="11"/>
      <c r="C57" s="11"/>
      <c r="D57" s="12" t="s">
        <v>91</v>
      </c>
      <c r="E57" s="13" t="s">
        <v>206</v>
      </c>
      <c r="F57" s="24" t="s">
        <v>106</v>
      </c>
      <c r="J57" s="75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-0.33219692466165551</v>
      </c>
      <c r="O57" s="19"/>
      <c r="P57" s="19"/>
    </row>
    <row r="58" spans="1:21">
      <c r="A58" s="11"/>
      <c r="B58" s="11"/>
      <c r="C58" s="11"/>
      <c r="D58" s="12" t="s">
        <v>91</v>
      </c>
      <c r="E58" s="13" t="s">
        <v>207</v>
      </c>
      <c r="F58" s="24" t="s">
        <v>106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-0.35543694605022647</v>
      </c>
      <c r="O58" s="19"/>
      <c r="P58" s="19"/>
    </row>
    <row r="59" spans="1:21">
      <c r="A59" s="11"/>
      <c r="B59" s="11"/>
      <c r="C59" s="11"/>
      <c r="D59" s="12" t="s">
        <v>91</v>
      </c>
      <c r="E59" s="13" t="s">
        <v>208</v>
      </c>
      <c r="F59" s="24" t="s">
        <v>106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-0.35543694605022647</v>
      </c>
    </row>
    <row r="60" spans="1:21">
      <c r="A60" s="11"/>
      <c r="B60" s="11"/>
      <c r="C60" s="11"/>
    </row>
    <row r="61" spans="1:21">
      <c r="A61" s="11"/>
      <c r="B61" s="11"/>
      <c r="C61" s="11"/>
      <c r="E61" s="22" t="s">
        <v>209</v>
      </c>
    </row>
    <row r="62" spans="1:21">
      <c r="A62" s="11"/>
      <c r="B62" s="11"/>
      <c r="C62" s="11"/>
      <c r="D62" s="12" t="s">
        <v>91</v>
      </c>
      <c r="E62" s="13" t="s">
        <v>199</v>
      </c>
      <c r="F62" s="24" t="s">
        <v>106</v>
      </c>
      <c r="L62" s="19"/>
      <c r="M62" s="19"/>
      <c r="N62" s="20">
        <f>N49</f>
        <v>-5.6619852129906683</v>
      </c>
      <c r="O62" s="20">
        <f>O49</f>
        <v>-4.412860951433589</v>
      </c>
      <c r="P62" s="20">
        <f>P49</f>
        <v>-12.274422536934487</v>
      </c>
    </row>
    <row r="63" spans="1:21">
      <c r="A63" s="11"/>
      <c r="B63" s="11"/>
      <c r="C63" s="11"/>
      <c r="D63" s="12" t="s">
        <v>91</v>
      </c>
      <c r="E63" s="13" t="s">
        <v>208</v>
      </c>
      <c r="F63" s="24" t="s">
        <v>106</v>
      </c>
      <c r="L63" s="19"/>
      <c r="M63" s="19"/>
      <c r="N63" s="20">
        <f>N59</f>
        <v>0</v>
      </c>
      <c r="O63" s="20">
        <f>O59</f>
        <v>0</v>
      </c>
      <c r="P63" s="20">
        <f>P59</f>
        <v>-0.35543694605022647</v>
      </c>
    </row>
    <row r="64" spans="1:21">
      <c r="A64" s="11"/>
      <c r="B64" s="11"/>
      <c r="C64" s="11"/>
      <c r="D64" s="12" t="s">
        <v>91</v>
      </c>
      <c r="E64" s="13" t="s">
        <v>210</v>
      </c>
      <c r="F64" s="24" t="s">
        <v>106</v>
      </c>
      <c r="K64" s="11"/>
      <c r="L64" s="19"/>
      <c r="M64" s="19"/>
      <c r="N64" s="20">
        <f>SUM(N62:N63)</f>
        <v>-5.6619852129906683</v>
      </c>
      <c r="O64" s="20">
        <f>SUM(O62:O63)</f>
        <v>-4.412860951433589</v>
      </c>
      <c r="P64" s="20">
        <f>SUM(P62:P63)</f>
        <v>-12.629859482984713</v>
      </c>
    </row>
    <row r="65" spans="1:23">
      <c r="A65" s="11"/>
      <c r="B65" s="11"/>
      <c r="C65" s="11"/>
      <c r="F65" s="26"/>
      <c r="K65" s="11"/>
    </row>
    <row r="66" spans="1:23">
      <c r="E66" s="24" t="s">
        <v>211</v>
      </c>
      <c r="F66" s="26"/>
      <c r="K66" s="11"/>
    </row>
    <row r="67" spans="1:23">
      <c r="D67" s="17" t="s">
        <v>202</v>
      </c>
      <c r="E67" s="13" t="s">
        <v>212</v>
      </c>
      <c r="F67" s="26"/>
      <c r="K67" s="11"/>
      <c r="L67" s="96" t="b">
        <f>ABS(Perc.Recovered.Waste)&gt;Additional.Analysis</f>
        <v>0</v>
      </c>
      <c r="M67" s="96" t="b">
        <f>ABS(Perc.Recovered.Waste)&gt;Additional.Analysis</f>
        <v>0</v>
      </c>
      <c r="N67" s="96" t="b">
        <f>ABS(Perc.Recovered.Waste)&gt;Additional.Analysis</f>
        <v>0</v>
      </c>
      <c r="O67" s="96" t="b">
        <f>ABS(Perc.Recovered.Waste)&gt;Additional.Analysis</f>
        <v>0</v>
      </c>
      <c r="P67" s="96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2"/>
      <c r="B69" s="123"/>
      <c r="C69" s="123"/>
      <c r="D69" s="127"/>
      <c r="E69" s="125" t="s">
        <v>213</v>
      </c>
      <c r="F69" s="126"/>
      <c r="G69" s="124"/>
      <c r="H69" s="124"/>
      <c r="I69" s="124"/>
      <c r="J69" s="124"/>
      <c r="K69" s="124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24"/>
      <c r="W69" s="124"/>
    </row>
    <row r="70" spans="1:23">
      <c r="E70" s="13"/>
      <c r="F70" s="26"/>
    </row>
    <row r="71" spans="1:23">
      <c r="E71" s="24" t="s">
        <v>214</v>
      </c>
      <c r="F71" s="26"/>
    </row>
    <row r="72" spans="1:23">
      <c r="D72" s="12" t="s">
        <v>91</v>
      </c>
      <c r="E72" s="13" t="s">
        <v>215</v>
      </c>
      <c r="F72" s="24" t="s">
        <v>106</v>
      </c>
      <c r="L72" s="19"/>
      <c r="M72" s="19"/>
      <c r="N72" s="19"/>
      <c r="O72" s="19"/>
      <c r="P72" s="20">
        <f>0-O43*(1+Discount.Rate)*Indexation.November.Actual.YearOnYear</f>
        <v>2.1133621347845809E-2</v>
      </c>
    </row>
    <row r="73" spans="1:23">
      <c r="D73" s="12" t="s">
        <v>91</v>
      </c>
      <c r="E73" s="13" t="s">
        <v>216</v>
      </c>
      <c r="F73" s="24" t="s">
        <v>106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D74" s="12" t="s">
        <v>91</v>
      </c>
      <c r="E74" s="13" t="s">
        <v>217</v>
      </c>
      <c r="F74" s="24" t="s">
        <v>106</v>
      </c>
      <c r="L74" s="19"/>
      <c r="M74" s="19"/>
      <c r="N74" s="19"/>
      <c r="O74" s="19"/>
      <c r="P74" s="20">
        <f>SUM(P72:P73)</f>
        <v>2.1133621347845809E-2</v>
      </c>
    </row>
    <row r="75" spans="1:23">
      <c r="F75" s="26"/>
    </row>
    <row r="76" spans="1:23">
      <c r="E76" s="24" t="s">
        <v>218</v>
      </c>
      <c r="F76" s="26"/>
    </row>
    <row r="77" spans="1:23">
      <c r="D77" s="12" t="s">
        <v>91</v>
      </c>
      <c r="E77" s="13" t="s">
        <v>219</v>
      </c>
      <c r="F77" s="24" t="s">
        <v>106</v>
      </c>
      <c r="L77" s="19"/>
      <c r="M77" s="19"/>
      <c r="N77" s="19"/>
      <c r="O77" s="19"/>
      <c r="P77" s="20">
        <f>0-P43</f>
        <v>5.7397395966063414E-4</v>
      </c>
    </row>
    <row r="78" spans="1:23">
      <c r="D78" s="12" t="s">
        <v>91</v>
      </c>
      <c r="E78" s="13" t="s">
        <v>220</v>
      </c>
      <c r="F78" s="24" t="s">
        <v>106</v>
      </c>
      <c r="L78" s="19"/>
      <c r="M78" s="19"/>
      <c r="N78" s="19"/>
      <c r="O78" s="19"/>
      <c r="P78" s="20">
        <f>P56</f>
        <v>0</v>
      </c>
    </row>
    <row r="79" spans="1:23">
      <c r="D79" s="12" t="s">
        <v>91</v>
      </c>
      <c r="E79" s="13" t="s">
        <v>221</v>
      </c>
      <c r="F79" s="24" t="s">
        <v>106</v>
      </c>
      <c r="L79" s="19"/>
      <c r="M79" s="19"/>
      <c r="N79" s="19"/>
      <c r="O79" s="19"/>
      <c r="P79" s="20">
        <f>SUM(P77:P78)</f>
        <v>5.7397395966063414E-4</v>
      </c>
    </row>
    <row r="80" spans="1:23">
      <c r="E80" s="13"/>
      <c r="F80" s="26"/>
    </row>
    <row r="81" spans="1:23">
      <c r="E81" s="24" t="s">
        <v>222</v>
      </c>
      <c r="F81" s="26"/>
    </row>
    <row r="82" spans="1:23">
      <c r="D82" s="12" t="s">
        <v>91</v>
      </c>
      <c r="E82" s="113" t="str">
        <f>E28</f>
        <v>AMP5 RCM adjustment to be applied at PR19 (Outturn price base)</v>
      </c>
      <c r="F82" s="24" t="s">
        <v>106</v>
      </c>
      <c r="L82" s="19"/>
      <c r="M82" s="19"/>
      <c r="N82" s="19"/>
      <c r="O82" s="19"/>
      <c r="P82" s="114">
        <f>P28</f>
        <v>-10.008657881542709</v>
      </c>
      <c r="S82" s="117"/>
    </row>
    <row r="83" spans="1:23">
      <c r="E83" s="13"/>
      <c r="F83" s="26"/>
    </row>
    <row r="84" spans="1:23">
      <c r="D84" s="12" t="s">
        <v>91</v>
      </c>
      <c r="E84" s="22" t="s">
        <v>223</v>
      </c>
      <c r="F84" s="24" t="s">
        <v>106</v>
      </c>
      <c r="L84" s="19"/>
      <c r="M84" s="19"/>
      <c r="N84" s="19"/>
      <c r="O84" s="19"/>
      <c r="P84" s="114">
        <f>SUM(P74,P79,P82)</f>
        <v>-9.9869502862352029</v>
      </c>
      <c r="Q84" s="8" t="s">
        <v>235</v>
      </c>
    </row>
    <row r="85" spans="1:23" ht="13.9" thickBot="1">
      <c r="E85" s="16"/>
      <c r="F85" s="26"/>
    </row>
    <row r="86" spans="1:23" ht="13.9" thickBot="1">
      <c r="A86" s="6" t="s">
        <v>127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1" priority="2" operator="equal">
      <formula>TRUE</formula>
    </cfRule>
  </conditionalFormatting>
  <conditionalFormatting sqref="L53:P5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1"/>
  </sheetPr>
  <dimension ref="A1:X15"/>
  <sheetViews>
    <sheetView showGridLines="0" showRowColHeaders="0" zoomScale="75" zoomScaleNormal="75" workbookViewId="0" xr3:uid="{85D5C41F-068E-5C55-9968-509E7C2A5619}">
      <selection activeCell="A20" sqref="A20"/>
    </sheetView>
  </sheetViews>
  <sheetFormatPr defaultColWidth="0" defaultRowHeight="12.75" customHeight="1" zeroHeight="1"/>
  <cols>
    <col min="1" max="2" width="8" customWidth="1"/>
    <col min="3" max="3" width="8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X21"/>
  <sheetViews>
    <sheetView showGridLines="0" zoomScale="75" zoomScaleNormal="75" workbookViewId="0" xr3:uid="{44B22561-5205-5C8A-B808-2C70100D228F}">
      <pane xSplit="8" ySplit="7" topLeftCell="I8" activePane="bottomRight" state="frozen"/>
      <selection pane="bottomRight" activeCell="P10" sqref="P10"/>
      <selection pane="bottomLeft" activeCell="A20" sqref="A20"/>
      <selection pane="topRight" activeCell="A20" sqref="A20"/>
    </sheetView>
  </sheetViews>
  <sheetFormatPr defaultColWidth="0" defaultRowHeight="0" customHeight="1" zeroHeight="1"/>
  <cols>
    <col min="1" max="3" width="2.7109375" style="2" customWidth="1"/>
    <col min="4" max="4" width="9.7109375" style="2" customWidth="1"/>
    <col min="5" max="5" width="49.28515625" style="2" customWidth="1"/>
    <col min="6" max="6" width="15.85546875" style="24" customWidth="1"/>
    <col min="7" max="8" width="2.7109375" style="2" customWidth="1"/>
    <col min="9" max="21" width="9.7109375" style="2" customWidth="1"/>
    <col min="22" max="22" width="15.85546875" style="2" customWidth="1"/>
    <col min="23" max="16384" width="9.140625" style="2" hidden="1"/>
  </cols>
  <sheetData>
    <row r="1" spans="1:24" ht="33">
      <c r="A1" s="139"/>
      <c r="B1" s="139"/>
      <c r="C1" s="139"/>
      <c r="D1" s="119" t="s">
        <v>236</v>
      </c>
      <c r="E1" s="119"/>
      <c r="F1" s="140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65</v>
      </c>
      <c r="G3" s="11"/>
      <c r="H3" s="11"/>
      <c r="I3" s="121" t="str">
        <f t="shared" ref="I3:U3" si="0">AMP.Years</f>
        <v>2012-13</v>
      </c>
      <c r="J3" s="121" t="str">
        <f t="shared" si="0"/>
        <v>2013-14</v>
      </c>
      <c r="K3" s="121" t="str">
        <f t="shared" si="0"/>
        <v>2014-15</v>
      </c>
      <c r="L3" s="122" t="str">
        <f t="shared" si="0"/>
        <v>2015-16</v>
      </c>
      <c r="M3" s="122" t="str">
        <f t="shared" si="0"/>
        <v>2016-17</v>
      </c>
      <c r="N3" s="122" t="str">
        <f t="shared" si="0"/>
        <v>2017-18</v>
      </c>
      <c r="O3" s="122" t="str">
        <f t="shared" si="0"/>
        <v>2018-19</v>
      </c>
      <c r="P3" s="122" t="str">
        <f t="shared" si="0"/>
        <v>2019-20</v>
      </c>
      <c r="Q3" s="121" t="str">
        <f t="shared" si="0"/>
        <v>2020-21</v>
      </c>
      <c r="R3" s="121" t="str">
        <f t="shared" si="0"/>
        <v>2021-22</v>
      </c>
      <c r="S3" s="121" t="str">
        <f t="shared" si="0"/>
        <v>2022-23</v>
      </c>
      <c r="T3" s="121" t="str">
        <f t="shared" si="0"/>
        <v>2023-24</v>
      </c>
      <c r="U3" s="121" t="str">
        <f t="shared" si="0"/>
        <v>2024-25</v>
      </c>
      <c r="V3" s="8"/>
      <c r="W3" s="11"/>
      <c r="X3" s="11"/>
    </row>
    <row r="4" spans="1:24" ht="13.1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3.15">
      <c r="A5" s="11"/>
      <c r="B5" s="11"/>
      <c r="C5" s="11"/>
      <c r="D5" s="11"/>
      <c r="E5" s="11" t="s">
        <v>66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67</v>
      </c>
      <c r="G6" s="11"/>
      <c r="H6" s="11"/>
      <c r="I6" s="11"/>
      <c r="J6" s="11"/>
      <c r="K6" s="3"/>
      <c r="L6" s="91">
        <v>1</v>
      </c>
      <c r="M6" s="91">
        <v>2</v>
      </c>
      <c r="N6" s="91">
        <v>3</v>
      </c>
      <c r="O6" s="91">
        <v>4</v>
      </c>
      <c r="P6" s="91">
        <v>5</v>
      </c>
      <c r="Q6" s="91">
        <v>6</v>
      </c>
      <c r="R6" s="91">
        <v>7</v>
      </c>
      <c r="S6" s="91">
        <v>8</v>
      </c>
      <c r="T6" s="91">
        <v>9</v>
      </c>
      <c r="U6" s="91">
        <v>10</v>
      </c>
      <c r="V6" s="11"/>
      <c r="W6" s="11"/>
      <c r="X6" s="11"/>
    </row>
    <row r="7" spans="1:24" ht="13.1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2"/>
      <c r="B8" s="123"/>
      <c r="C8" s="123"/>
      <c r="D8" s="127"/>
      <c r="E8" s="125" t="s">
        <v>237</v>
      </c>
      <c r="F8" s="126"/>
      <c r="G8" s="124"/>
      <c r="H8" s="124"/>
      <c r="I8" s="124"/>
      <c r="J8" s="124"/>
      <c r="K8" s="124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24"/>
      <c r="W8" s="124"/>
      <c r="X8" s="124"/>
    </row>
    <row r="9" spans="1:24" ht="13.1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91</v>
      </c>
      <c r="E10" s="22" t="s">
        <v>238</v>
      </c>
      <c r="F10" s="24" t="s">
        <v>106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-4.0701196232137224</v>
      </c>
      <c r="Q10" s="11"/>
      <c r="R10" s="11"/>
      <c r="S10" s="11"/>
      <c r="T10" s="11"/>
      <c r="U10" s="11"/>
      <c r="V10" s="11"/>
      <c r="W10" s="11"/>
      <c r="X10" s="11"/>
    </row>
    <row r="11" spans="1:24" ht="13.1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91</v>
      </c>
      <c r="E12" s="22" t="s">
        <v>239</v>
      </c>
      <c r="F12" s="24" t="s">
        <v>106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-9.9869502862352029</v>
      </c>
      <c r="Q12" s="11"/>
      <c r="R12" s="11"/>
      <c r="S12" s="11"/>
      <c r="T12" s="11"/>
      <c r="U12" s="11"/>
      <c r="V12" s="11"/>
      <c r="W12" s="11"/>
      <c r="X12" s="11"/>
    </row>
    <row r="13" spans="1:24" ht="13.9" thickBot="1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3.9" thickBot="1">
      <c r="A14" s="6" t="s">
        <v>127</v>
      </c>
      <c r="B14" s="7"/>
      <c r="C14" s="7"/>
      <c r="D14" s="7"/>
      <c r="E14" s="7"/>
      <c r="F14" s="2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"/>
      <c r="X14" s="11"/>
    </row>
    <row r="15" spans="1:24" ht="13.15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2.75" hidden="1" customHeight="1">
      <c r="A16" s="11"/>
      <c r="B16" s="11"/>
      <c r="C16" s="11"/>
      <c r="D16" s="11"/>
      <c r="E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F3B8E627E3780F46ADD634571DD229B7" ma:contentTypeVersion="18" ma:contentTypeDescription="" ma:contentTypeScope="" ma:versionID="b927a7e9d5102360a3ef8ccb20a79abc">
  <xsd:schema xmlns:xsd="http://www.w3.org/2001/XMLSchema" xmlns:xs="http://www.w3.org/2001/XMLSchema" xmlns:p="http://schemas.microsoft.com/office/2006/metadata/properties" xmlns:ns2="138e79af-97e9-467e-b691-fc96845a5065" xmlns:ns3="b49e5993-d204-4c42-8fa1-4cc41f5e030c" xmlns:ns4="5b5e9a24-37b3-4fb2-8734-94521adfbf18" targetNamespace="http://schemas.microsoft.com/office/2006/metadata/properties" ma:root="true" ma:fieldsID="839ba02e9435bef16354dd39cc43bba2" ns2:_="" ns3:_="" ns4:_="">
    <xsd:import namespace="138e79af-97e9-467e-b691-fc96845a5065"/>
    <xsd:import namespace="b49e5993-d204-4c42-8fa1-4cc41f5e030c"/>
    <xsd:import namespace="5b5e9a24-37b3-4fb2-8734-94521adfbf1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3af6d87b-783c-4d0f-a83c-ae72126e2641}" ma:internalName="TaxCatchAll" ma:showField="CatchAllData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3af6d87b-783c-4d0f-a83c-ae72126e2641}" ma:internalName="TaxCatchAllLabel" ma:readOnly="true" ma:showField="CatchAllDataLabel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e5993-d204-4c42-8fa1-4cc41f5e030c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9a24-37b3-4fb2-8734-94521adfb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/>
    <IsSecure xmlns="138e79af-97e9-467e-b691-fc96845a5065">No</IsSecure>
    <_dlc_DocId xmlns="b49e5993-d204-4c42-8fa1-4cc41f5e030c">DJPMS4CF7MJS-231543103-667</_dlc_DocId>
    <_dlc_DocIdUrl xmlns="b49e5993-d204-4c42-8fa1-4cc41f5e030c">
      <Url>https://wessexwater.sharepoint.com/teams/wx-bp/_layouts/15/DocIdRedir.aspx?ID=DJPMS4CF7MJS-231543103-667</Url>
      <Description>DJPMS4CF7MJS-231543103-667</Description>
    </_dlc_DocIdUrl>
  </documentManagement>
</p:properties>
</file>

<file path=customXml/item4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9AA44E-2C21-4035-9F4E-3C2066090AAA}"/>
</file>

<file path=customXml/itemProps2.xml><?xml version="1.0" encoding="utf-8"?>
<ds:datastoreItem xmlns:ds="http://schemas.openxmlformats.org/officeDocument/2006/customXml" ds:itemID="{714A3EA6-99A4-43E6-95FD-2245F23146BC}"/>
</file>

<file path=customXml/itemProps3.xml><?xml version="1.0" encoding="utf-8"?>
<ds:datastoreItem xmlns:ds="http://schemas.openxmlformats.org/officeDocument/2006/customXml" ds:itemID="{82B82369-497D-47D8-9312-ADC65EA94878}"/>
</file>

<file path=customXml/itemProps4.xml><?xml version="1.0" encoding="utf-8"?>
<ds:datastoreItem xmlns:ds="http://schemas.openxmlformats.org/officeDocument/2006/customXml" ds:itemID="{2D0A22D3-53EE-4CB6-9AA8-B1A3634D7AED}"/>
</file>

<file path=customXml/itemProps5.xml><?xml version="1.0" encoding="utf-8"?>
<ds:datastoreItem xmlns:ds="http://schemas.openxmlformats.org/officeDocument/2006/customXml" ds:itemID="{FF255374-6264-43B4-919F-549E71075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PricewaterhouseCoopers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Steve Hogan-Smith</cp:lastModifiedBy>
  <cp:revision/>
  <dcterms:created xsi:type="dcterms:W3CDTF">2015-02-03T17:19:53Z</dcterms:created>
  <dcterms:modified xsi:type="dcterms:W3CDTF">2018-07-27T10:24:51Z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0x010100DEF460391E80A2479A3051B62F5365DD00F3B8E627E3780F46ADD634571DD229B7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151;#Risk and Reward|c78d1602-226e-4dfc-b981-a8a88923ba74;#21;#OFFICIAL|c2540f30-f875-494b-a43f-ebfb5017a6ad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  <property fmtid="{D5CDD505-2E9C-101B-9397-08002B2CF9AE}" pid="16" name="b128efbe498d4e38a73555a2e7be12ea">
    <vt:lpwstr/>
  </property>
  <property fmtid="{D5CDD505-2E9C-101B-9397-08002B2CF9AE}" pid="17" name="m279c8e365374608a4eb2bb657f838c2">
    <vt:lpwstr/>
  </property>
  <property fmtid="{D5CDD505-2E9C-101B-9397-08002B2CF9AE}" pid="18" name="j014a7bd3fd34d828fc493e84f684b49">
    <vt:lpwstr/>
  </property>
  <property fmtid="{D5CDD505-2E9C-101B-9397-08002B2CF9AE}" pid="19" name="b2faa34e97554b63aaaf45270201a270">
    <vt:lpwstr/>
  </property>
  <property fmtid="{D5CDD505-2E9C-101B-9397-08002B2CF9AE}" pid="20" name="b20f10deb29d4945907115b7b62c5b70">
    <vt:lpwstr/>
  </property>
  <property fmtid="{D5CDD505-2E9C-101B-9397-08002B2CF9AE}" pid="21" name="j7c77f2a1a924badb0d621542422dc19">
    <vt:lpwstr/>
  </property>
  <property fmtid="{D5CDD505-2E9C-101B-9397-08002B2CF9AE}" pid="22" name="oe9d4f963f4c420b8d2b35d038476850">
    <vt:lpwstr>Risk and Reward|c78d1602-226e-4dfc-b981-a8a88923ba74</vt:lpwstr>
  </property>
  <property fmtid="{D5CDD505-2E9C-101B-9397-08002B2CF9AE}" pid="23" name="a9250910d34f4f6d82af870f608babb6">
    <vt:lpwstr/>
  </property>
  <property fmtid="{D5CDD505-2E9C-101B-9397-08002B2CF9AE}" pid="24" name="f8aa492165544285b4c7fe9d1b6ad82c">
    <vt:lpwstr/>
  </property>
  <property fmtid="{D5CDD505-2E9C-101B-9397-08002B2CF9AE}" pid="25" name="_dlc_DocIdItemGuid">
    <vt:lpwstr>2be79899-dcab-4cec-8c47-c39993935a41</vt:lpwstr>
  </property>
  <property fmtid="{D5CDD505-2E9C-101B-9397-08002B2CF9AE}" pid="26" name="LoB">
    <vt:lpwstr/>
  </property>
  <property fmtid="{D5CDD505-2E9C-101B-9397-08002B2CF9AE}" pid="27" name="Function">
    <vt:lpwstr/>
  </property>
  <property fmtid="{D5CDD505-2E9C-101B-9397-08002B2CF9AE}" pid="28" name="Document Type">
    <vt:lpwstr/>
  </property>
  <property fmtid="{D5CDD505-2E9C-101B-9397-08002B2CF9AE}" pid="29" name="Site Id">
    <vt:lpwstr/>
  </property>
</Properties>
</file>